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00" i="2" l="1"/>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<sst xmlns="http://schemas.openxmlformats.org/spreadsheetml/2006/main" count="342" uniqueCount="79">
  <si>
    <t>جدول رقم(40) : مخصص الأخطار السارية أول العام (إجمالي التأمين العام)</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</si>
  <si>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</si>
  <si>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</si>
  <si>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</si>
  <si>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</si>
  <si>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</si>
  <si>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</si>
  <si>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</si>
  <si>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</si>
  <si>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</si>
  <si>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</si>
  <si>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</si>
  <si>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</si>
  <si>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</si>
  <si>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</si>
  <si>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</si>
  <si>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</si>
  <si>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</si>
  <si>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</si>
  <si>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</si>
  <si>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</si>
  <si>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</si>
  <si>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</si>
  <si>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</si>
  <si>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</si>
  <si>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</si>
  <si>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</si>
  <si>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رقم(41) : مخصص الأخطار السارية أول العام (النقل)</t>
  </si>
  <si>
    <t>جدول رقم(42) : مخصص الأخطار السارية أول العام (الممتلكات)</t>
  </si>
  <si>
    <t>جدول رقم(43) : مخصص الأخطار السارية أول العام (المركبات الشامل)</t>
  </si>
  <si>
    <t>جدول رقم(44) : مخصص الأخطار السارية أول العام (المركبات الطرف الثالث)</t>
  </si>
  <si>
    <t>جدول رقم(45) : مخصص الأخطار السارية أول العام (المسؤولية)</t>
  </si>
  <si>
    <t>جدول رقم(46) : مخصص الأخطار السارية أول العام (الهندسي)</t>
  </si>
  <si>
    <t>جدول رقم(47) : مخصص الأخطار السارية أول العام (الصحي)</t>
  </si>
  <si>
    <t>جدول رقم(48) : مخصص الأخطار السارية أول العام (الأخرى)</t>
  </si>
  <si>
    <t>مخصص الأخطار السارية أول العام (المجموع التأمين العام والصحي)</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</si>
  <si>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</si>
  <si>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</si>
  <si>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</si>
  <si>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</si>
  <si>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</si>
  <si>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</si>
  <si>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</si>
  <si>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</si>
  <si>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</si>
  <si>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</si>
  <si>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</si>
  <si>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</si>
  <si>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</si>
  <si>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</si>
  <si>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</si>
  <si>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</si>
  <si>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</si>
  <si>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</si>
  <si>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</si>
  <si>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</si>
  <si>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</si>
  <si>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</si>
  <si>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</si>
  <si>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</si>
  <si>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</si>
  <si>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</si>
  <si>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</si>
  <si>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</si>
  <si>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</si>
  <si>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</si>
  <si>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مخصص الأخطار السارية أول العام</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</si>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</sst>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5" sqref="B5"/>
    </sheetView>
  </sheetViews>
  <sheetFormatPr defaultRowHeight="14" x14ac:dyDescent="0.3"/>
  <cols>
    <col min="1" max="1" width="40.1640625" customWidth="1"/>
    <col min="2" max="2" width="41.75" customWidth="1"/>
  </cols>
  <sheetData>
    <row r="1" spans="1:2" ht="17.5" x14ac:dyDescent="0.3">
      <c r="A1" s="6" t="s">
        <v>36</v>
      </c>
      <c r="B1" s="6" t="s">
        <v>66</v>
      </c>
    </row>
    <row r="2" spans="1:2" ht="70" x14ac:dyDescent="0.3">
      <c r="A2" s="7" t="s">
        <v>37</v>
      </c>
      <c r="B2" s="7" t="s">
        <v>38</v>
      </c>
    </row>
    <row r="3" spans="1:2" x14ac:dyDescent="0.3">
      <c r="A3" s="7" t="s">
        <v>39</v>
      </c>
      <c r="B3" s="7" t="s">
        <v>40</v>
      </c>
    </row>
    <row r="4" spans="1:2" x14ac:dyDescent="0.3">
      <c r="A4" s="7" t="s">
        <v>41</v>
      </c>
      <c r="B4" s="7" t="s">
        <v>42</v>
      </c>
    </row>
    <row r="5" spans="1:2" ht="42" x14ac:dyDescent="0.3">
      <c r="A5" s="7" t="s">
        <v>43</v>
      </c>
      <c r="B5" s="7" t="s">
        <v>44</v>
      </c>
    </row>
    <row r="6" spans="1:2" x14ac:dyDescent="0.3">
      <c r="A6" s="7" t="s">
        <v>45</v>
      </c>
      <c r="B6" s="8">
        <v>44568</v>
      </c>
    </row>
    <row r="7" spans="1:2" x14ac:dyDescent="0.3">
      <c r="A7" s="7" t="s">
        <v>46</v>
      </c>
      <c r="B7" s="7" t="s">
        <v>47</v>
      </c>
    </row>
    <row r="8" spans="1:2" x14ac:dyDescent="0.3">
      <c r="A8" s="7" t="s">
        <v>48</v>
      </c>
      <c r="B8" s="7" t="s">
        <v>49</v>
      </c>
    </row>
    <row r="9" spans="1:2" x14ac:dyDescent="0.3">
      <c r="A9" s="7" t="s">
        <v>50</v>
      </c>
      <c r="B9" s="7" t="s">
        <v>51</v>
      </c>
    </row>
    <row r="10" spans="1:2" x14ac:dyDescent="0.3">
      <c r="A10" s="7" t="s">
        <v>52</v>
      </c>
      <c r="B10" s="7" t="s">
        <v>53</v>
      </c>
    </row>
    <row r="11" spans="1:2" x14ac:dyDescent="0.3">
      <c r="A11" s="7" t="s">
        <v>54</v>
      </c>
      <c r="B11" s="7" t="s">
        <v>55</v>
      </c>
    </row>
    <row r="12" spans="1:2" x14ac:dyDescent="0.3">
      <c r="A12" s="7" t="s">
        <v>56</v>
      </c>
      <c r="B12" s="7" t="s">
        <v>57</v>
      </c>
    </row>
    <row r="13" spans="1:2" x14ac:dyDescent="0.3">
      <c r="A13" s="7" t="s">
        <v>58</v>
      </c>
      <c r="B13" s="7" t="s">
        <v>59</v>
      </c>
    </row>
    <row r="14" spans="1:2" ht="70" x14ac:dyDescent="0.3">
      <c r="A14" s="7" t="s">
        <v>60</v>
      </c>
      <c r="B14" s="7" t="s">
        <v>61</v>
      </c>
    </row>
    <row r="15" spans="1:2" x14ac:dyDescent="0.3">
      <c r="A15" s="7" t="s">
        <v>62</v>
      </c>
      <c r="B15" s="7" t="s">
        <v>63</v>
      </c>
    </row>
    <row r="16" spans="1:2" x14ac:dyDescent="0.3">
      <c r="A16" s="7" t="s">
        <v>64</v>
      </c>
      <c r="B16" s="7" t="s">
        <v>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E20" sqref="E20"/>
    </sheetView>
  </sheetViews>
  <sheetFormatPr defaultRowHeight="14" x14ac:dyDescent="0.3"/>
  <cols>
    <col min="1" max="3" width="20.58203125" customWidth="1"/>
    <col min="4" max="4" width="22.4140625" customWidth="1"/>
    <col min="5" max="5" width="25.5" customWidth="1"/>
  </cols>
  <sheetData>
    <row r="1" spans="1:5" x14ac:dyDescent="0.3">
      <c r="A1" s="9" t="s">
        <v>67</v>
      </c>
      <c r="B1" s="9" t="s">
        <v>68</v>
      </c>
      <c r="C1" s="9" t="s">
        <v>69</v>
      </c>
      <c r="D1" s="9" t="s">
        <v>70</v>
      </c>
      <c r="E1" s="9" t="s">
        <v>71</v>
      </c>
    </row>
    <row r="2" spans="1:5" ht="15.5" x14ac:dyDescent="0.3">
      <c r="A2" s="10">
        <v>1</v>
      </c>
      <c r="B2" s="11" t="s">
        <v>1</v>
      </c>
      <c r="C2" s="11" t="s">
        <v>72</v>
      </c>
      <c r="D2" s="11" t="s">
        <v>73</v>
      </c>
      <c r="E2" s="11" t="s">
        <v>74</v>
      </c>
    </row>
    <row r="3" spans="1:5" ht="15.5" x14ac:dyDescent="0.3">
      <c r="A3" s="10">
        <v>2</v>
      </c>
      <c r="B3" s="11" t="s">
        <v>2</v>
      </c>
      <c r="C3" s="11" t="s">
        <v>2</v>
      </c>
      <c r="D3" s="11" t="s">
        <v>75</v>
      </c>
      <c r="E3" s="11" t="s">
        <v>74</v>
      </c>
    </row>
    <row r="4" spans="1:5" ht="15.5" x14ac:dyDescent="0.3">
      <c r="A4" s="10">
        <v>3</v>
      </c>
      <c r="B4" s="11" t="s">
        <v>3</v>
      </c>
      <c r="C4" s="11" t="s">
        <v>3</v>
      </c>
      <c r="D4" s="11" t="s">
        <v>75</v>
      </c>
      <c r="E4" s="11" t="s">
        <v>74</v>
      </c>
    </row>
    <row r="5" spans="1:5" ht="15.5" x14ac:dyDescent="0.3">
      <c r="A5" s="10">
        <v>4</v>
      </c>
      <c r="B5" s="11" t="s">
        <v>4</v>
      </c>
      <c r="C5" s="11" t="s">
        <v>4</v>
      </c>
      <c r="D5" s="11" t="s">
        <v>75</v>
      </c>
      <c r="E5" s="11" t="s">
        <v>74</v>
      </c>
    </row>
    <row r="6" spans="1:5" ht="15.5" x14ac:dyDescent="0.3">
      <c r="A6" s="10">
        <v>5</v>
      </c>
      <c r="B6" s="11" t="s">
        <v>76</v>
      </c>
      <c r="C6" s="11" t="s">
        <v>76</v>
      </c>
      <c r="D6" s="11" t="s">
        <v>75</v>
      </c>
      <c r="E6" s="11" t="s">
        <v>74</v>
      </c>
    </row>
    <row r="7" spans="1:5" ht="15.5" x14ac:dyDescent="0.3">
      <c r="A7" s="10">
        <v>6</v>
      </c>
      <c r="B7" s="11" t="s">
        <v>6</v>
      </c>
      <c r="C7" s="11" t="s">
        <v>6</v>
      </c>
      <c r="D7" s="11" t="s">
        <v>75</v>
      </c>
      <c r="E7" s="11" t="s">
        <v>74</v>
      </c>
    </row>
    <row r="8" spans="1:5" ht="15.5" x14ac:dyDescent="0.3">
      <c r="A8" s="10">
        <v>7</v>
      </c>
      <c r="B8" s="11" t="s">
        <v>7</v>
      </c>
      <c r="C8" s="11" t="s">
        <v>7</v>
      </c>
      <c r="D8" s="11" t="s">
        <v>75</v>
      </c>
      <c r="E8" s="11" t="s">
        <v>74</v>
      </c>
    </row>
    <row r="9" spans="1:5" ht="15.5" x14ac:dyDescent="0.3">
      <c r="A9" s="10">
        <v>8</v>
      </c>
      <c r="B9" s="11" t="s">
        <v>77</v>
      </c>
      <c r="C9" s="11" t="s">
        <v>77</v>
      </c>
      <c r="D9" s="11" t="s">
        <v>75</v>
      </c>
      <c r="E9" s="11" t="s">
        <v>74</v>
      </c>
    </row>
    <row r="10" spans="1:5" ht="15.5" x14ac:dyDescent="0.3">
      <c r="A10" s="10">
        <v>9</v>
      </c>
      <c r="B10" s="11" t="s">
        <v>78</v>
      </c>
      <c r="C10" s="11" t="s">
        <v>78</v>
      </c>
      <c r="D10" s="11" t="s">
        <v>75</v>
      </c>
      <c r="E10" s="11"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rightToLeft="1" workbookViewId="0">
      <selection sqref="A1:I1"/>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(99041+4668758+(2051804+2160910)+502119+546741+6697091)</f>
        <v>16726464</v>
      </c>
      <c r="C4" s="3">
        <f t="shared" ref="C4:D6" si="0">(0+0+(0+0)+0+0+0)</f>
        <v>0</v>
      </c>
      <c r="D4" s="3">
        <f t="shared" si="0"/>
        <v>0</v>
      </c>
      <c r="E4" s="3">
        <f>((99041+4668758+(2051804+2160910)+502119+546741+6697091)+(0+0+(0+0)+0+0+0)+(0+0+(0+0)+0+0+0))</f>
        <v>16726464</v>
      </c>
      <c r="F4" s="3">
        <f>(0+359423+(0+0)+222+16715+29424)</f>
        <v>405784</v>
      </c>
      <c r="G4" s="3">
        <f>(57689+3970497+(354683+327671)+296884+313289+6336560)</f>
        <v>11657273</v>
      </c>
      <c r="H4" s="3">
        <f>((0+359423+(0+0)+222+16715+29424)+(57689+3970497+(354683+327671)+296884+313289+6336560))</f>
        <v>12063057</v>
      </c>
      <c r="I4" s="3">
        <f>(((99041+4668758+(2051804+2160910)+502119+546741+6697091)+(0+0+(0+0)+0+0+0)+(0+0+(0+0)+0+0+0))-((0+359423+(0+0)+222+16715+29424)+(57689+3970497+(354683+327671)+296884+313289+6336560)))</f>
        <v>4663407</v>
      </c>
    </row>
    <row r="5" spans="1:9" ht="14" x14ac:dyDescent="0.3">
      <c r="A5" s="2" t="s">
        <v>11</v>
      </c>
      <c r="B5" s="3">
        <f>(0+0+(0+0)+0+0+254611)</f>
        <v>254611</v>
      </c>
      <c r="C5" s="3">
        <f t="shared" si="0"/>
        <v>0</v>
      </c>
      <c r="D5" s="3">
        <f t="shared" si="0"/>
        <v>0</v>
      </c>
      <c r="E5" s="3">
        <f>((0+0+(0+0)+0+0+254611)+(0+0+(0+0)+0+0+0)+(0+0+(0+0)+0+0+0))</f>
        <v>254611</v>
      </c>
      <c r="F5" s="3">
        <f>(0+0+(0+0)+0+0+0)</f>
        <v>0</v>
      </c>
      <c r="G5" s="3">
        <f>(0+0+(0+0)+0+0+5058)</f>
        <v>5058</v>
      </c>
      <c r="H5" s="3">
        <f>((0+0+(0+0)+0+0+0)+(0+0+(0+0)+0+0+5058))</f>
        <v>5058</v>
      </c>
      <c r="I5" s="3">
        <f>(((0+0+(0+0)+0+0+254611)+(0+0+(0+0)+0+0+0)+(0+0+(0+0)+0+0+0))-((0+0+(0+0)+0+0+0)+(0+0+(0+0)+0+0+5058)))</f>
        <v>249553</v>
      </c>
    </row>
    <row r="6" spans="1:9" ht="14" x14ac:dyDescent="0.3">
      <c r="A6" s="2" t="s">
        <v>12</v>
      </c>
      <c r="B6" s="3">
        <f>(362941+2846821+(2759854+4139782)+328651+1014563+1167117)</f>
        <v>12619729</v>
      </c>
      <c r="C6" s="3">
        <f t="shared" si="0"/>
        <v>0</v>
      </c>
      <c r="D6" s="3">
        <f t="shared" si="0"/>
        <v>0</v>
      </c>
      <c r="E6" s="3">
        <f>((362941+2846821+(2759854+4139782)+328651+1014563+1167117)+(0+0+(0+0)+0+0+0)+(0+0+(0+0)+0+0+0))</f>
        <v>12619729</v>
      </c>
      <c r="F6" s="3">
        <f>(90066+412785+(0+0)+0+9517+0)</f>
        <v>512368</v>
      </c>
      <c r="G6" s="3">
        <f>(245267+2322678+(635850+953774)+266769+968697+846466)</f>
        <v>6239501</v>
      </c>
      <c r="H6" s="3">
        <f>((90066+412785+(0+0)+0+9517+0)+(245267+2322678+(635850+953774)+266769+968697+846466))</f>
        <v>6751869</v>
      </c>
      <c r="I6" s="3">
        <f>(((362941+2846821+(2759854+4139782)+328651+1014563+1167117)+(0+0+(0+0)+0+0+0)+(0+0+(0+0)+0+0+0))-((90066+412785+(0+0)+0+9517+0)+(245267+2322678+(635850+953774)+266769+968697+846466)))</f>
        <v>5867860</v>
      </c>
    </row>
    <row r="7" spans="1:9" ht="14" x14ac:dyDescent="0.3">
      <c r="A7" s="2" t="s">
        <v>13</v>
      </c>
      <c r="B7" s="3">
        <f>(151180+1625567+(960402+894581)+199289+664767+264765)</f>
        <v>4760551</v>
      </c>
      <c r="C7" s="3">
        <f>(24964+156482+(0+0)+0+12284+0)</f>
        <v>193730</v>
      </c>
      <c r="D7" s="3">
        <f>(0+0+(0+0)+0+0+0)</f>
        <v>0</v>
      </c>
      <c r="E7" s="3">
        <f>((151180+1625567+(960402+894581)+199289+664767+264765)+(24964+156482+(0+0)+0+12284+0)+(0+0+(0+0)+0+0+0))</f>
        <v>4954281</v>
      </c>
      <c r="F7" s="3">
        <f>(277+275811+(0+0)+115+28899+423)</f>
        <v>305525</v>
      </c>
      <c r="G7" s="3">
        <f>(0+376827+(0+0)+49685+70171+23518)</f>
        <v>520201</v>
      </c>
      <c r="H7" s="3">
        <f>((277+275811+(0+0)+115+28899+423)+(0+376827+(0+0)+49685+70171+23518))</f>
        <v>825726</v>
      </c>
      <c r="I7" s="3">
        <f>(((151180+1625567+(960402+894581)+199289+664767+264765)+(24964+156482+(0+0)+0+12284+0)+(0+0+(0+0)+0+0+0))-((277+275811+(0+0)+115+28899+423)+(0+376827+(0+0)+49685+70171+23518)))</f>
        <v>4128555</v>
      </c>
    </row>
    <row r="8" spans="1:9" ht="14" x14ac:dyDescent="0.3">
      <c r="A8" s="2" t="s">
        <v>14</v>
      </c>
      <c r="B8" s="3">
        <f>(2271+88174+(2829975+3560257)+33566+245212+16044)</f>
        <v>6775499</v>
      </c>
      <c r="C8" s="3">
        <f>(0+0+(0+0)+0+0+0)</f>
        <v>0</v>
      </c>
      <c r="D8" s="3">
        <f>(0+0+(0+0)+0+0+0)</f>
        <v>0</v>
      </c>
      <c r="E8" s="3">
        <f>((2271+88174+(2829975+3560257)+33566+245212+16044)+(0+0+(0+0)+0+0+0)+(0+0+(0+0)+0+0+0))</f>
        <v>6775499</v>
      </c>
      <c r="F8" s="3">
        <f>(290+9302+(3161+6537)+0+27613+1177)</f>
        <v>48080</v>
      </c>
      <c r="G8" s="3">
        <f>(1641+52710+(17790+37164)+57+153207+8567)</f>
        <v>271136</v>
      </c>
      <c r="H8" s="3">
        <f>((290+9302+(3161+6537)+0+27613+1177)+(1641+52710+(17790+37164)+57+153207+8567))</f>
        <v>319216</v>
      </c>
      <c r="I8" s="3">
        <f>(((2271+88174+(2829975+3560257)+33566+245212+16044)+(0+0+(0+0)+0+0+0)+(0+0+(0+0)+0+0+0))-((290+9302+(3161+6537)+0+27613+1177)+(1641+52710+(17790+37164)+57+153207+8567)))</f>
        <v>6456283</v>
      </c>
    </row>
    <row r="9" spans="1:9" ht="14" x14ac:dyDescent="0.3">
      <c r="A9" s="2" t="s">
        <v>15</v>
      </c>
      <c r="B9" s="3">
        <f>(2377264+10146971+(2873442+2406558)+1260488+4181257+484440)</f>
        <v>23730420</v>
      </c>
      <c r="C9" s="3">
        <f>(4482+78015+(0+0)+0+55765+0)</f>
        <v>138262</v>
      </c>
      <c r="D9" s="3">
        <f>(9203+12781+(0+0)+0+9136+0)</f>
        <v>31120</v>
      </c>
      <c r="E9" s="3">
        <f>((2377264+10146971+(2873442+2406558)+1260488+4181257+484440)+(4482+78015+(0+0)+0+55765+0)+(9203+12781+(0+0)+0+9136+0))</f>
        <v>23899802</v>
      </c>
      <c r="F9" s="3">
        <f>(147+160950+(0+0)+697+116367+0)</f>
        <v>278161</v>
      </c>
      <c r="G9" s="3">
        <f>(2350444+9834384+(283923+237790)+1149021+4017215+337684)</f>
        <v>18210461</v>
      </c>
      <c r="H9" s="3">
        <f>((147+160950+(0+0)+697+116367+0)+(2350444+9834384+(283923+237790)+1149021+4017215+337684))</f>
        <v>18488622</v>
      </c>
      <c r="I9" s="3">
        <f>(((2377264+10146971+(2873442+2406558)+1260488+4181257+484440)+(4482+78015+(0+0)+0+55765+0)+(9203+12781+(0+0)+0+9136+0))-((147+160950+(0+0)+697+116367+0)+(2350444+9834384+(283923+237790)+1149021+4017215+337684)))</f>
        <v>5411180</v>
      </c>
    </row>
    <row r="10" spans="1:9" ht="14" x14ac:dyDescent="0.3">
      <c r="A10" s="2" t="s">
        <v>16</v>
      </c>
      <c r="B10" s="3">
        <f>(128+374263+(1774846+1760161)+87645+64997+92079)</f>
        <v>4154119</v>
      </c>
      <c r="C10" s="3">
        <f>(0+0+(0+0)+0+0+0)</f>
        <v>0</v>
      </c>
      <c r="D10" s="3">
        <f>(0+0+(0+0)+0+0+0)</f>
        <v>0</v>
      </c>
      <c r="E10" s="3">
        <f>((128+374263+(1774846+1760161)+87645+64997+92079)+(0+0+(0+0)+0+0+0)+(0+0+(0+0)+0+0+0))</f>
        <v>4154119</v>
      </c>
      <c r="F10" s="3">
        <f>(177+20814+(1290+1280)+933+5080+537)</f>
        <v>30111</v>
      </c>
      <c r="G10" s="3">
        <f>(1662+280565+(4725+4686)+69406+47871+79531)</f>
        <v>488446</v>
      </c>
      <c r="H10" s="3">
        <f>((177+20814+(1290+1280)+933+5080+537)+(1662+280565+(4725+4686)+69406+47871+79531))</f>
        <v>518557</v>
      </c>
      <c r="I10" s="3">
        <f>(((128+374263+(1774846+1760161)+87645+64997+92079)+(0+0+(0+0)+0+0+0)+(0+0+(0+0)+0+0+0))-((177+20814+(1290+1280)+933+5080+537)+(1662+280565+(4725+4686)+69406+47871+79531)))</f>
        <v>3635562</v>
      </c>
    </row>
    <row r="11" spans="1:9" ht="14" x14ac:dyDescent="0.3">
      <c r="A11" s="2" t="s">
        <v>17</v>
      </c>
      <c r="B11" s="3">
        <f>(29672+62402+(184416+371982)+3014+7094+13991)</f>
        <v>672571</v>
      </c>
      <c r="C11" s="3">
        <f>((-1468)+102477+(0+0)+0+8606+0)</f>
        <v>109615</v>
      </c>
      <c r="D11" s="3">
        <f t="shared" ref="D11:D20" si="1">(0+0+(0+0)+0+0+0)</f>
        <v>0</v>
      </c>
      <c r="E11" s="3">
        <f>((29672+62402+(184416+371982)+3014+7094+13991)+((-1468)+102477+(0+0)+0+8606+0)+(0+0+(0+0)+0+0+0))</f>
        <v>782186</v>
      </c>
      <c r="F11" s="3">
        <f>(0+0+(0+0)+0+0+0)</f>
        <v>0</v>
      </c>
      <c r="G11" s="3">
        <f>(4471+17079+(0+0)+0+686+3204)</f>
        <v>25440</v>
      </c>
      <c r="H11" s="3">
        <f>((0+0+(0+0)+0+0+0)+(4471+17079+(0+0)+0+686+3204))</f>
        <v>25440</v>
      </c>
      <c r="I11" s="3">
        <f>(((29672+62402+(184416+371982)+3014+7094+13991)+((-1468)+102477+(0+0)+0+8606+0)+(0+0+(0+0)+0+0+0))-((0+0+(0+0)+0+0+0)+(4471+17079+(0+0)+0+686+3204)))</f>
        <v>756746</v>
      </c>
    </row>
    <row r="12" spans="1:9" ht="14" x14ac:dyDescent="0.3">
      <c r="A12" s="2" t="s">
        <v>18</v>
      </c>
      <c r="B12" s="3">
        <f>(6611+177178+(147459+39385)+26692+70295+8295)</f>
        <v>475915</v>
      </c>
      <c r="C12" s="3">
        <f>(0+35807+(0+0)+0+25205+0)</f>
        <v>61012</v>
      </c>
      <c r="D12" s="3">
        <f t="shared" si="1"/>
        <v>0</v>
      </c>
      <c r="E12" s="3">
        <f>((6611+177178+(147459+39385)+26692+70295+8295)+(0+35807+(0+0)+0+25205+0)+(0+0+(0+0)+0+0+0))</f>
        <v>536927</v>
      </c>
      <c r="F12" s="3">
        <f>(0+19460+(0+0)+0+16291+0)</f>
        <v>35751</v>
      </c>
      <c r="G12" s="3">
        <f>(5289+164371+(2111+0)+4005+63277+6085)</f>
        <v>245138</v>
      </c>
      <c r="H12" s="3">
        <f>((0+19460+(0+0)+0+16291+0)+(5289+164371+(2111+0)+4005+63277+6085))</f>
        <v>280889</v>
      </c>
      <c r="I12" s="3">
        <f>(((6611+177178+(147459+39385)+26692+70295+8295)+(0+35807+(0+0)+0+25205+0)+(0+0+(0+0)+0+0+0))-((0+19460+(0+0)+0+16291+0)+(5289+164371+(2111+0)+4005+63277+6085)))</f>
        <v>256038</v>
      </c>
    </row>
    <row r="13" spans="1:9" ht="14" x14ac:dyDescent="0.3">
      <c r="A13" s="2" t="s">
        <v>19</v>
      </c>
      <c r="B13" s="3">
        <f>(316139+1900347+(1231346+1007465)+1489312+499922+99847)</f>
        <v>6544378</v>
      </c>
      <c r="C13" s="3">
        <f>(0+0+(0+0)+0+0+0)</f>
        <v>0</v>
      </c>
      <c r="D13" s="3">
        <f t="shared" si="1"/>
        <v>0</v>
      </c>
      <c r="E13" s="3">
        <f>((316139+1900347+(1231346+1007465)+1489312+499922+99847)+(0+0+(0+0)+0+0+0)+(0+0+(0+0)+0+0+0))</f>
        <v>6544378</v>
      </c>
      <c r="F13" s="3">
        <f>(1744+46949+(0+0)+0+8364+2458)</f>
        <v>59515</v>
      </c>
      <c r="G13" s="3">
        <f>(278939+1786623+(368037+301116)+1464731+462676+85127)</f>
        <v>4747249</v>
      </c>
      <c r="H13" s="3">
        <f>((1744+46949+(0+0)+0+8364+2458)+(278939+1786623+(368037+301116)+1464731+462676+85127))</f>
        <v>4806764</v>
      </c>
      <c r="I13" s="3">
        <f>(((316139+1900347+(1231346+1007465)+1489312+499922+99847)+(0+0+(0+0)+0+0+0)+(0+0+(0+0)+0+0+0))-((1744+46949+(0+0)+0+8364+2458)+(278939+1786623+(368037+301116)+1464731+462676+85127)))</f>
        <v>1737614</v>
      </c>
    </row>
    <row r="14" spans="1:9" ht="14" x14ac:dyDescent="0.3">
      <c r="A14" s="2" t="s">
        <v>20</v>
      </c>
      <c r="B14" s="3">
        <f>(76824+1546456+(108261+1814)+457737+541592+170149)</f>
        <v>2902833</v>
      </c>
      <c r="C14" s="3">
        <f>(5955+126769+(0+0)+0+0+0)</f>
        <v>132724</v>
      </c>
      <c r="D14" s="3">
        <f t="shared" si="1"/>
        <v>0</v>
      </c>
      <c r="E14" s="3">
        <f>((76824+1546456+(108261+1814)+457737+541592+170149)+(5955+126769+(0+0)+0+0+0)+(0+0+(0+0)+0+0+0))</f>
        <v>3035557</v>
      </c>
      <c r="F14" s="3">
        <f>(0+1040068+(0+0)+0+61257+2094)</f>
        <v>1103419</v>
      </c>
      <c r="G14" s="3">
        <f>(38173+602093+(17498+0)+363249+404050+148078)</f>
        <v>1573141</v>
      </c>
      <c r="H14" s="3">
        <f>((0+1040068+(0+0)+0+61257+2094)+(38173+602093+(17498+0)+363249+404050+148078))</f>
        <v>2676560</v>
      </c>
      <c r="I14" s="3">
        <f>(((76824+1546456+(108261+1814)+457737+541592+170149)+(5955+126769+(0+0)+0+0+0)+(0+0+(0+0)+0+0+0))-((0+1040068+(0+0)+0+61257+2094)+(38173+602093+(17498+0)+363249+404050+148078)))</f>
        <v>358997</v>
      </c>
    </row>
    <row r="15" spans="1:9" ht="14" x14ac:dyDescent="0.3">
      <c r="A15" s="2" t="s">
        <v>21</v>
      </c>
      <c r="B15" s="3">
        <f>(0+0+(0+0)+0+0+0)</f>
        <v>0</v>
      </c>
      <c r="C15" s="3">
        <f>(0+0+(0+0)+0+0+0)</f>
        <v>0</v>
      </c>
      <c r="D15" s="3">
        <f t="shared" si="1"/>
        <v>0</v>
      </c>
      <c r="E15" s="3">
        <f>((0+0+(0+0)+0+0+0)+(0+0+(0+0)+0+0+0)+(0+0+(0+0)+0+0+0))</f>
        <v>0</v>
      </c>
      <c r="F15" s="3">
        <f>(0+0+(0+0)+0+0+0)</f>
        <v>0</v>
      </c>
      <c r="G15" s="3">
        <f>(0+0+(0+0)+0+0+0)</f>
        <v>0</v>
      </c>
      <c r="H15" s="3">
        <f>((0+0+(0+0)+0+0+0)+(0+0+(0+0)+0+0+0))</f>
        <v>0</v>
      </c>
      <c r="I15" s="3">
        <f>(((0+0+(0+0)+0+0+0)+(0+0+(0+0)+0+0+0)+(0+0+(0+0)+0+0+0))-((0+0+(0+0)+0+0+0)+(0+0+(0+0)+0+0+0)))</f>
        <v>0</v>
      </c>
    </row>
    <row r="16" spans="1:9" ht="14" x14ac:dyDescent="0.3">
      <c r="A16" s="2" t="s">
        <v>22</v>
      </c>
      <c r="B16" s="3">
        <f>(724476+5459007+(3769214+4287777)+1585367+2389456+1576264)</f>
        <v>19791561</v>
      </c>
      <c r="C16" s="3">
        <f>(0+0+(0+0)+0+0+0)</f>
        <v>0</v>
      </c>
      <c r="D16" s="3">
        <f t="shared" si="1"/>
        <v>0</v>
      </c>
      <c r="E16" s="3">
        <f>((724476+5459007+(3769214+4287777)+1585367+2389456+1576264)+(0+0+(0+0)+0+0+0)+(0+0+(0+0)+0+0+0))</f>
        <v>19791561</v>
      </c>
      <c r="F16" s="3">
        <f>(0+0+(0+0)+0+0+0)</f>
        <v>0</v>
      </c>
      <c r="G16" s="3">
        <f>(644409+5247376+(0+0)+1270610+2097130+831792)</f>
        <v>10091317</v>
      </c>
      <c r="H16" s="3">
        <f>((0+0+(0+0)+0+0+0)+(644409+5247376+(0+0)+1270610+2097130+831792))</f>
        <v>10091317</v>
      </c>
      <c r="I16" s="3">
        <f>(((724476+5459007+(3769214+4287777)+1585367+2389456+1576264)+(0+0+(0+0)+0+0+0)+(0+0+(0+0)+0+0+0))-((0+0+(0+0)+0+0+0)+(644409+5247376+(0+0)+1270610+2097130+831792)))</f>
        <v>9700244</v>
      </c>
    </row>
    <row r="17" spans="1:9" ht="14" x14ac:dyDescent="0.3">
      <c r="A17" s="2" t="s">
        <v>23</v>
      </c>
      <c r="B17" s="3">
        <f>(120431+4062585+(94941+3390)+226456+247126+33593)</f>
        <v>4788522</v>
      </c>
      <c r="C17" s="3">
        <f>(9607+925740+(0+0)+0+25964+0)</f>
        <v>961311</v>
      </c>
      <c r="D17" s="3">
        <f t="shared" si="1"/>
        <v>0</v>
      </c>
      <c r="E17" s="3">
        <f>((120431+4062585+(94941+3390)+226456+247126+33593)+(9607+925740+(0+0)+0+25964+0)+(0+0+(0+0)+0+0+0))</f>
        <v>5749833</v>
      </c>
      <c r="F17" s="3">
        <f>(0+0+(0+0)+0+0+0)</f>
        <v>0</v>
      </c>
      <c r="G17" s="3">
        <f>(86929+4938020+(26475+2989)+(-62966)+4504+20228)</f>
        <v>5016179</v>
      </c>
      <c r="H17" s="3">
        <f>((0+0+(0+0)+0+0+0)+(86929+4938020+(26475+2989)+(-62966)+4504+20228))</f>
        <v>5016179</v>
      </c>
      <c r="I17" s="3">
        <f>(((120431+4062585+(94941+3390)+226456+247126+33593)+(9607+925740+(0+0)+0+25964+0)+(0+0+(0+0)+0+0+0))-((0+0+(0+0)+0+0+0)+(86929+4938020+(26475+2989)+(-62966)+4504+20228)))</f>
        <v>733654</v>
      </c>
    </row>
    <row r="18" spans="1:9" ht="14" x14ac:dyDescent="0.3">
      <c r="A18" s="2" t="s">
        <v>24</v>
      </c>
      <c r="B18" s="3">
        <f>(47512+479234+(1367818+1012641)+331398+258569+74806)</f>
        <v>3571978</v>
      </c>
      <c r="C18" s="3">
        <f>(0+0+(0+0)+0+0+0)</f>
        <v>0</v>
      </c>
      <c r="D18" s="3">
        <f t="shared" si="1"/>
        <v>0</v>
      </c>
      <c r="E18" s="3">
        <f>((47512+479234+(1367818+1012641)+331398+258569+74806)+(0+0+(0+0)+0+0+0)+(0+0+(0+0)+0+0+0))</f>
        <v>3571978</v>
      </c>
      <c r="F18" s="3">
        <f>(0+29685+(0+0)+0+4481+0)</f>
        <v>34166</v>
      </c>
      <c r="G18" s="3">
        <f>(43037+427987+(414755+303792)+280449+241808+70504)</f>
        <v>1782332</v>
      </c>
      <c r="H18" s="3">
        <f>((0+29685+(0+0)+0+4481+0)+(43037+427987+(414755+303792)+280449+241808+70504))</f>
        <v>1816498</v>
      </c>
      <c r="I18" s="3">
        <f>(((47512+479234+(1367818+1012641)+331398+258569+74806)+(0+0+(0+0)+0+0+0)+(0+0+(0+0)+0+0+0))-((0+29685+(0+0)+0+4481+0)+(43037+427987+(414755+303792)+280449+241808+70504)))</f>
        <v>1755480</v>
      </c>
    </row>
    <row r="19" spans="1:9" ht="14" x14ac:dyDescent="0.3">
      <c r="A19" s="2" t="s">
        <v>25</v>
      </c>
      <c r="B19" s="3">
        <f>(0+0+(0+0)+0+0+0)</f>
        <v>0</v>
      </c>
      <c r="C19" s="3">
        <f>(0+0+(0+0)+0+0+0)</f>
        <v>0</v>
      </c>
      <c r="D19" s="3">
        <f t="shared" si="1"/>
        <v>0</v>
      </c>
      <c r="E19" s="3">
        <f>((0+0+(0+0)+0+0+0)+(0+0+(0+0)+0+0+0)+(0+0+(0+0)+0+0+0))</f>
        <v>0</v>
      </c>
      <c r="F19" s="3">
        <f>(0+0+(0+0)+0+0+0)</f>
        <v>0</v>
      </c>
      <c r="G19" s="3">
        <f>(0+0+(0+0)+0+0+0)</f>
        <v>0</v>
      </c>
      <c r="H19" s="3">
        <f>((0+0+(0+0)+0+0+0)+(0+0+(0+0)+0+0+0))</f>
        <v>0</v>
      </c>
      <c r="I19" s="3">
        <f>(((0+0+(0+0)+0+0+0)+(0+0+(0+0)+0+0+0)+(0+0+(0+0)+0+0+0))-((0+0+(0+0)+0+0+0)+(0+0+(0+0)+0+0+0)))</f>
        <v>0</v>
      </c>
    </row>
    <row r="20" spans="1:9" ht="14" x14ac:dyDescent="0.3">
      <c r="A20" s="2" t="s">
        <v>26</v>
      </c>
      <c r="B20" s="3">
        <f>(75077+440523+(2788047+4283)+284979+488486+317152)</f>
        <v>4398547</v>
      </c>
      <c r="C20" s="3">
        <f>(861+12301+(0+0)+0+19455+5379)</f>
        <v>37996</v>
      </c>
      <c r="D20" s="3">
        <f t="shared" si="1"/>
        <v>0</v>
      </c>
      <c r="E20" s="3">
        <f>((75077+440523+(2788047+4283)+284979+488486+317152)+(861+12301+(0+0)+0+19455+5379)+(0+0+(0+0)+0+0+0))</f>
        <v>4436543</v>
      </c>
      <c r="F20" s="3">
        <f>(0+1002+(0+0)+0+0+0)</f>
        <v>1002</v>
      </c>
      <c r="G20" s="3">
        <f>(9104+154814+(1104+0)+143268+356185+16822)</f>
        <v>681297</v>
      </c>
      <c r="H20" s="3">
        <f>((0+1002+(0+0)+0+0+0)+(9104+154814+(1104+0)+143268+356185+16822))</f>
        <v>682299</v>
      </c>
      <c r="I20" s="3">
        <f>(((75077+440523+(2788047+4283)+284979+488486+317152)+(861+12301+(0+0)+0+19455+5379)+(0+0+(0+0)+0+0+0))-((0+1002+(0+0)+0+0+0)+(9104+154814+(1104+0)+143268+356185+16822)))</f>
        <v>3754244</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99041</f>
        <v>99041</v>
      </c>
      <c r="C24" s="3">
        <f>0</f>
        <v>0</v>
      </c>
      <c r="D24" s="3">
        <f>0</f>
        <v>0</v>
      </c>
      <c r="E24" s="3">
        <f>(99041+0+0)</f>
        <v>99041</v>
      </c>
      <c r="F24" s="3">
        <f>0</f>
        <v>0</v>
      </c>
      <c r="G24" s="3">
        <f>57689</f>
        <v>57689</v>
      </c>
      <c r="H24" s="3">
        <f>(0+57689)</f>
        <v>57689</v>
      </c>
      <c r="I24" s="3">
        <f>((99041+0+0)-(0+57689))</f>
        <v>41352</v>
      </c>
    </row>
    <row r="25" spans="1:9" ht="14" x14ac:dyDescent="0.3">
      <c r="A25" s="2" t="s">
        <v>11</v>
      </c>
      <c r="B25" s="3">
        <f>0</f>
        <v>0</v>
      </c>
      <c r="C25" s="3">
        <f>0</f>
        <v>0</v>
      </c>
      <c r="D25" s="3">
        <f>0</f>
        <v>0</v>
      </c>
      <c r="E25" s="3">
        <f>(0+0+0)</f>
        <v>0</v>
      </c>
      <c r="F25" s="3">
        <f>0</f>
        <v>0</v>
      </c>
      <c r="G25" s="3">
        <f>0</f>
        <v>0</v>
      </c>
      <c r="H25" s="3">
        <f>(0+0)</f>
        <v>0</v>
      </c>
      <c r="I25" s="3">
        <f>((0+0+0)-(0+0))</f>
        <v>0</v>
      </c>
    </row>
    <row r="26" spans="1:9" ht="14" x14ac:dyDescent="0.3">
      <c r="A26" s="2" t="s">
        <v>12</v>
      </c>
      <c r="B26" s="3">
        <f>362941</f>
        <v>362941</v>
      </c>
      <c r="C26" s="3">
        <f>0</f>
        <v>0</v>
      </c>
      <c r="D26" s="3">
        <f>0</f>
        <v>0</v>
      </c>
      <c r="E26" s="3">
        <f>(362941+0+0)</f>
        <v>362941</v>
      </c>
      <c r="F26" s="3">
        <f>90066</f>
        <v>90066</v>
      </c>
      <c r="G26" s="3">
        <f>245267</f>
        <v>245267</v>
      </c>
      <c r="H26" s="3">
        <f>(90066+245267)</f>
        <v>335333</v>
      </c>
      <c r="I26" s="3">
        <f>((362941+0+0)-(90066+245267))</f>
        <v>27608</v>
      </c>
    </row>
    <row r="27" spans="1:9" ht="14" x14ac:dyDescent="0.3">
      <c r="A27" s="2" t="s">
        <v>13</v>
      </c>
      <c r="B27" s="3">
        <f>151180</f>
        <v>151180</v>
      </c>
      <c r="C27" s="3">
        <f>24964</f>
        <v>24964</v>
      </c>
      <c r="D27" s="3">
        <f>0</f>
        <v>0</v>
      </c>
      <c r="E27" s="3">
        <f>(151180+24964+0)</f>
        <v>176144</v>
      </c>
      <c r="F27" s="3">
        <f>277</f>
        <v>277</v>
      </c>
      <c r="G27" s="3">
        <f>0</f>
        <v>0</v>
      </c>
      <c r="H27" s="3">
        <f>(277+0)</f>
        <v>277</v>
      </c>
      <c r="I27" s="3">
        <f>((151180+24964+0)-(277+0))</f>
        <v>175867</v>
      </c>
    </row>
    <row r="28" spans="1:9" ht="14" x14ac:dyDescent="0.3">
      <c r="A28" s="2" t="s">
        <v>14</v>
      </c>
      <c r="B28" s="3">
        <f>2271</f>
        <v>2271</v>
      </c>
      <c r="C28" s="3">
        <f>0</f>
        <v>0</v>
      </c>
      <c r="D28" s="3">
        <f>0</f>
        <v>0</v>
      </c>
      <c r="E28" s="3">
        <f>(2271+0+0)</f>
        <v>2271</v>
      </c>
      <c r="F28" s="3">
        <f>290</f>
        <v>290</v>
      </c>
      <c r="G28" s="3">
        <f>1641</f>
        <v>1641</v>
      </c>
      <c r="H28" s="3">
        <f>(290+1641)</f>
        <v>1931</v>
      </c>
      <c r="I28" s="3">
        <f>((2271+0+0)-(290+1641))</f>
        <v>340</v>
      </c>
    </row>
    <row r="29" spans="1:9" ht="14" x14ac:dyDescent="0.3">
      <c r="A29" s="2" t="s">
        <v>15</v>
      </c>
      <c r="B29" s="3">
        <f>2377264</f>
        <v>2377264</v>
      </c>
      <c r="C29" s="3">
        <f>4482</f>
        <v>4482</v>
      </c>
      <c r="D29" s="3">
        <f>9203</f>
        <v>9203</v>
      </c>
      <c r="E29" s="3">
        <f>(2377264+4482+9203)</f>
        <v>2390949</v>
      </c>
      <c r="F29" s="3">
        <f>147</f>
        <v>147</v>
      </c>
      <c r="G29" s="3">
        <f>2350444</f>
        <v>2350444</v>
      </c>
      <c r="H29" s="3">
        <f>(147+2350444)</f>
        <v>2350591</v>
      </c>
      <c r="I29" s="3">
        <f>((2377264+4482+9203)-(147+2350444))</f>
        <v>40358</v>
      </c>
    </row>
    <row r="30" spans="1:9" ht="14" x14ac:dyDescent="0.3">
      <c r="A30" s="2" t="s">
        <v>16</v>
      </c>
      <c r="B30" s="3">
        <f>128</f>
        <v>128</v>
      </c>
      <c r="C30" s="3">
        <f>0</f>
        <v>0</v>
      </c>
      <c r="D30" s="3">
        <f>0</f>
        <v>0</v>
      </c>
      <c r="E30" s="3">
        <f>(128+0+0)</f>
        <v>128</v>
      </c>
      <c r="F30" s="3">
        <f>177</f>
        <v>177</v>
      </c>
      <c r="G30" s="3">
        <f>1662</f>
        <v>1662</v>
      </c>
      <c r="H30" s="3">
        <f>(177+1662)</f>
        <v>1839</v>
      </c>
      <c r="I30" s="3">
        <f>((128+0+0)-(177+1662))</f>
        <v>-1711</v>
      </c>
    </row>
    <row r="31" spans="1:9" ht="14" x14ac:dyDescent="0.3">
      <c r="A31" s="2" t="s">
        <v>17</v>
      </c>
      <c r="B31" s="3">
        <f>29672</f>
        <v>29672</v>
      </c>
      <c r="C31" s="3">
        <f>(-1468)</f>
        <v>-1468</v>
      </c>
      <c r="D31" s="3">
        <f>0</f>
        <v>0</v>
      </c>
      <c r="E31" s="3">
        <f>(29672+(-1468)+0)</f>
        <v>28204</v>
      </c>
      <c r="F31" s="3">
        <f>0</f>
        <v>0</v>
      </c>
      <c r="G31" s="3">
        <f>4471</f>
        <v>4471</v>
      </c>
      <c r="H31" s="3">
        <f>(0+4471)</f>
        <v>4471</v>
      </c>
      <c r="I31" s="3">
        <f>((29672+(-1468)+0)-(0+4471))</f>
        <v>23733</v>
      </c>
    </row>
    <row r="32" spans="1:9" ht="14" x14ac:dyDescent="0.3">
      <c r="A32" s="2" t="s">
        <v>18</v>
      </c>
      <c r="B32" s="3">
        <f>6611</f>
        <v>6611</v>
      </c>
      <c r="C32" s="3">
        <f>0</f>
        <v>0</v>
      </c>
      <c r="D32" s="3">
        <f>0</f>
        <v>0</v>
      </c>
      <c r="E32" s="3">
        <f>(6611+0+0)</f>
        <v>6611</v>
      </c>
      <c r="F32" s="3">
        <f>0</f>
        <v>0</v>
      </c>
      <c r="G32" s="3">
        <f>5289</f>
        <v>5289</v>
      </c>
      <c r="H32" s="3">
        <f>(0+5289)</f>
        <v>5289</v>
      </c>
      <c r="I32" s="3">
        <f>((6611+0+0)-(0+5289))</f>
        <v>1322</v>
      </c>
    </row>
    <row r="33" spans="1:9" ht="14" x14ac:dyDescent="0.3">
      <c r="A33" s="2" t="s">
        <v>19</v>
      </c>
      <c r="B33" s="3">
        <f>316139</f>
        <v>316139</v>
      </c>
      <c r="C33" s="3">
        <f>0</f>
        <v>0</v>
      </c>
      <c r="D33" s="3">
        <f>0</f>
        <v>0</v>
      </c>
      <c r="E33" s="3">
        <f>(316139+0+0)</f>
        <v>316139</v>
      </c>
      <c r="F33" s="3">
        <f>1744</f>
        <v>1744</v>
      </c>
      <c r="G33" s="3">
        <f>278939</f>
        <v>278939</v>
      </c>
      <c r="H33" s="3">
        <f>(1744+278939)</f>
        <v>280683</v>
      </c>
      <c r="I33" s="3">
        <f>((316139+0+0)-(1744+278939))</f>
        <v>35456</v>
      </c>
    </row>
    <row r="34" spans="1:9" ht="14" x14ac:dyDescent="0.3">
      <c r="A34" s="2" t="s">
        <v>20</v>
      </c>
      <c r="B34" s="3">
        <f>76824</f>
        <v>76824</v>
      </c>
      <c r="C34" s="3">
        <f>5955</f>
        <v>5955</v>
      </c>
      <c r="D34" s="3">
        <f>0</f>
        <v>0</v>
      </c>
      <c r="E34" s="3">
        <f>(76824+5955+0)</f>
        <v>82779</v>
      </c>
      <c r="F34" s="3">
        <f>0</f>
        <v>0</v>
      </c>
      <c r="G34" s="3">
        <f>38173</f>
        <v>38173</v>
      </c>
      <c r="H34" s="3">
        <f>(0+38173)</f>
        <v>38173</v>
      </c>
      <c r="I34" s="3">
        <f>((76824+5955+0)-(0+38173))</f>
        <v>44606</v>
      </c>
    </row>
    <row r="35" spans="1:9" ht="14" x14ac:dyDescent="0.3">
      <c r="A35" s="2" t="s">
        <v>21</v>
      </c>
      <c r="B35" s="3">
        <f>0</f>
        <v>0</v>
      </c>
      <c r="C35" s="3">
        <f>0</f>
        <v>0</v>
      </c>
      <c r="D35" s="3">
        <f>0</f>
        <v>0</v>
      </c>
      <c r="E35" s="3">
        <f>(0+0+0)</f>
        <v>0</v>
      </c>
      <c r="F35" s="3">
        <f>0</f>
        <v>0</v>
      </c>
      <c r="G35" s="3">
        <f>0</f>
        <v>0</v>
      </c>
      <c r="H35" s="3">
        <f>(0+0)</f>
        <v>0</v>
      </c>
      <c r="I35" s="3">
        <f>((0+0+0)-(0+0))</f>
        <v>0</v>
      </c>
    </row>
    <row r="36" spans="1:9" ht="14" x14ac:dyDescent="0.3">
      <c r="A36" s="2" t="s">
        <v>22</v>
      </c>
      <c r="B36" s="3">
        <f>724476</f>
        <v>724476</v>
      </c>
      <c r="C36" s="3">
        <f>0</f>
        <v>0</v>
      </c>
      <c r="D36" s="3">
        <f>0</f>
        <v>0</v>
      </c>
      <c r="E36" s="3">
        <f>(724476+0+0)</f>
        <v>724476</v>
      </c>
      <c r="F36" s="3">
        <f>0</f>
        <v>0</v>
      </c>
      <c r="G36" s="3">
        <f>644409</f>
        <v>644409</v>
      </c>
      <c r="H36" s="3">
        <f>(0+644409)</f>
        <v>644409</v>
      </c>
      <c r="I36" s="3">
        <f>((724476+0+0)-(0+644409))</f>
        <v>80067</v>
      </c>
    </row>
    <row r="37" spans="1:9" ht="14" x14ac:dyDescent="0.3">
      <c r="A37" s="2" t="s">
        <v>23</v>
      </c>
      <c r="B37" s="3">
        <f>120431</f>
        <v>120431</v>
      </c>
      <c r="C37" s="3">
        <f>9607</f>
        <v>9607</v>
      </c>
      <c r="D37" s="3">
        <f>0</f>
        <v>0</v>
      </c>
      <c r="E37" s="3">
        <f>(120431+9607+0)</f>
        <v>130038</v>
      </c>
      <c r="F37" s="3">
        <f>0</f>
        <v>0</v>
      </c>
      <c r="G37" s="3">
        <f>86929</f>
        <v>86929</v>
      </c>
      <c r="H37" s="3">
        <f>(0+86929)</f>
        <v>86929</v>
      </c>
      <c r="I37" s="3">
        <f>((120431+9607+0)-(0+86929))</f>
        <v>43109</v>
      </c>
    </row>
    <row r="38" spans="1:9" ht="14" x14ac:dyDescent="0.3">
      <c r="A38" s="2" t="s">
        <v>24</v>
      </c>
      <c r="B38" s="3">
        <f>47512</f>
        <v>47512</v>
      </c>
      <c r="C38" s="3">
        <f>0</f>
        <v>0</v>
      </c>
      <c r="D38" s="3">
        <f>0</f>
        <v>0</v>
      </c>
      <c r="E38" s="3">
        <f>(47512+0+0)</f>
        <v>47512</v>
      </c>
      <c r="F38" s="3">
        <f>0</f>
        <v>0</v>
      </c>
      <c r="G38" s="3">
        <f>43037</f>
        <v>43037</v>
      </c>
      <c r="H38" s="3">
        <f>(0+43037)</f>
        <v>43037</v>
      </c>
      <c r="I38" s="3">
        <f>((47512+0+0)-(0+43037))</f>
        <v>4475</v>
      </c>
    </row>
    <row r="39" spans="1:9" ht="14" x14ac:dyDescent="0.3">
      <c r="A39" s="2" t="s">
        <v>25</v>
      </c>
      <c r="B39" s="3">
        <f>0</f>
        <v>0</v>
      </c>
      <c r="C39" s="3">
        <f>0</f>
        <v>0</v>
      </c>
      <c r="D39" s="3">
        <f>0</f>
        <v>0</v>
      </c>
      <c r="E39" s="3">
        <f>(0+0+0)</f>
        <v>0</v>
      </c>
      <c r="F39" s="3">
        <f>0</f>
        <v>0</v>
      </c>
      <c r="G39" s="3">
        <f>0</f>
        <v>0</v>
      </c>
      <c r="H39" s="3">
        <f>(0+0)</f>
        <v>0</v>
      </c>
      <c r="I39" s="3">
        <f>((0+0+0)-(0+0))</f>
        <v>0</v>
      </c>
    </row>
    <row r="40" spans="1:9" ht="14" x14ac:dyDescent="0.3">
      <c r="A40" s="2" t="s">
        <v>26</v>
      </c>
      <c r="B40" s="3">
        <f>75077</f>
        <v>75077</v>
      </c>
      <c r="C40" s="3">
        <f>861</f>
        <v>861</v>
      </c>
      <c r="D40" s="3">
        <f>0</f>
        <v>0</v>
      </c>
      <c r="E40" s="3">
        <f>(75077+861+0)</f>
        <v>75938</v>
      </c>
      <c r="F40" s="3">
        <f>0</f>
        <v>0</v>
      </c>
      <c r="G40" s="3">
        <f>9104</f>
        <v>9104</v>
      </c>
      <c r="H40" s="3">
        <f>(0+9104)</f>
        <v>9104</v>
      </c>
      <c r="I40" s="3">
        <f>((75077+861+0)-(0+9104))</f>
        <v>66834</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4668758</f>
        <v>4668758</v>
      </c>
      <c r="C44" s="3">
        <f>0</f>
        <v>0</v>
      </c>
      <c r="D44" s="3">
        <f>0</f>
        <v>0</v>
      </c>
      <c r="E44" s="3">
        <f>(4668758+0+0)</f>
        <v>4668758</v>
      </c>
      <c r="F44" s="3">
        <f>359423</f>
        <v>359423</v>
      </c>
      <c r="G44" s="3">
        <f>3970497</f>
        <v>3970497</v>
      </c>
      <c r="H44" s="3">
        <f>(359423+3970497)</f>
        <v>4329920</v>
      </c>
      <c r="I44" s="3">
        <f>((4668758+0+0)-(359423+3970497))</f>
        <v>338838</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2846821</f>
        <v>2846821</v>
      </c>
      <c r="C46" s="3">
        <f>0</f>
        <v>0</v>
      </c>
      <c r="D46" s="3">
        <f>0</f>
        <v>0</v>
      </c>
      <c r="E46" s="3">
        <f>(2846821+0+0)</f>
        <v>2846821</v>
      </c>
      <c r="F46" s="3">
        <f>412785</f>
        <v>412785</v>
      </c>
      <c r="G46" s="3">
        <f>2322678</f>
        <v>2322678</v>
      </c>
      <c r="H46" s="3">
        <f>(412785+2322678)</f>
        <v>2735463</v>
      </c>
      <c r="I46" s="3">
        <f>((2846821+0+0)-(412785+2322678))</f>
        <v>111358</v>
      </c>
    </row>
    <row r="47" spans="1:9" ht="14" x14ac:dyDescent="0.3">
      <c r="A47" s="2" t="s">
        <v>13</v>
      </c>
      <c r="B47" s="3">
        <f>1625567</f>
        <v>1625567</v>
      </c>
      <c r="C47" s="3">
        <f>156482</f>
        <v>156482</v>
      </c>
      <c r="D47" s="3">
        <f>0</f>
        <v>0</v>
      </c>
      <c r="E47" s="3">
        <f>(1625567+156482+0)</f>
        <v>1782049</v>
      </c>
      <c r="F47" s="3">
        <f>275811</f>
        <v>275811</v>
      </c>
      <c r="G47" s="3">
        <f>376827</f>
        <v>376827</v>
      </c>
      <c r="H47" s="3">
        <f>(275811+376827)</f>
        <v>652638</v>
      </c>
      <c r="I47" s="3">
        <f>((1625567+156482+0)-(275811+376827))</f>
        <v>1129411</v>
      </c>
    </row>
    <row r="48" spans="1:9" ht="14" x14ac:dyDescent="0.3">
      <c r="A48" s="2" t="s">
        <v>14</v>
      </c>
      <c r="B48" s="3">
        <f>88174</f>
        <v>88174</v>
      </c>
      <c r="C48" s="3">
        <f>0</f>
        <v>0</v>
      </c>
      <c r="D48" s="3">
        <f>0</f>
        <v>0</v>
      </c>
      <c r="E48" s="3">
        <f>(88174+0+0)</f>
        <v>88174</v>
      </c>
      <c r="F48" s="3">
        <f>9302</f>
        <v>9302</v>
      </c>
      <c r="G48" s="3">
        <f>52710</f>
        <v>52710</v>
      </c>
      <c r="H48" s="3">
        <f>(9302+52710)</f>
        <v>62012</v>
      </c>
      <c r="I48" s="3">
        <f>((88174+0+0)-(9302+52710))</f>
        <v>26162</v>
      </c>
    </row>
    <row r="49" spans="1:9" ht="14" x14ac:dyDescent="0.3">
      <c r="A49" s="2" t="s">
        <v>15</v>
      </c>
      <c r="B49" s="3">
        <f>10146971</f>
        <v>10146971</v>
      </c>
      <c r="C49" s="3">
        <f>78015</f>
        <v>78015</v>
      </c>
      <c r="D49" s="3">
        <f>12781</f>
        <v>12781</v>
      </c>
      <c r="E49" s="3">
        <f>(10146971+78015+12781)</f>
        <v>10237767</v>
      </c>
      <c r="F49" s="3">
        <f>160950</f>
        <v>160950</v>
      </c>
      <c r="G49" s="3">
        <f>9834384</f>
        <v>9834384</v>
      </c>
      <c r="H49" s="3">
        <f>(160950+9834384)</f>
        <v>9995334</v>
      </c>
      <c r="I49" s="3">
        <f>((10146971+78015+12781)-(160950+9834384))</f>
        <v>242433</v>
      </c>
    </row>
    <row r="50" spans="1:9" ht="14" x14ac:dyDescent="0.3">
      <c r="A50" s="2" t="s">
        <v>16</v>
      </c>
      <c r="B50" s="3">
        <f>374263</f>
        <v>374263</v>
      </c>
      <c r="C50" s="3">
        <f>0</f>
        <v>0</v>
      </c>
      <c r="D50" s="3">
        <f>0</f>
        <v>0</v>
      </c>
      <c r="E50" s="3">
        <f>(374263+0+0)</f>
        <v>374263</v>
      </c>
      <c r="F50" s="3">
        <f>20814</f>
        <v>20814</v>
      </c>
      <c r="G50" s="3">
        <f>280565</f>
        <v>280565</v>
      </c>
      <c r="H50" s="3">
        <f>(20814+280565)</f>
        <v>301379</v>
      </c>
      <c r="I50" s="3">
        <f>((374263+0+0)-(20814+280565))</f>
        <v>72884</v>
      </c>
    </row>
    <row r="51" spans="1:9" ht="14" x14ac:dyDescent="0.3">
      <c r="A51" s="2" t="s">
        <v>17</v>
      </c>
      <c r="B51" s="3">
        <f>62402</f>
        <v>62402</v>
      </c>
      <c r="C51" s="3">
        <f>102477</f>
        <v>102477</v>
      </c>
      <c r="D51" s="3">
        <f>0</f>
        <v>0</v>
      </c>
      <c r="E51" s="3">
        <f>(62402+102477+0)</f>
        <v>164879</v>
      </c>
      <c r="F51" s="3">
        <f>0</f>
        <v>0</v>
      </c>
      <c r="G51" s="3">
        <f>17079</f>
        <v>17079</v>
      </c>
      <c r="H51" s="3">
        <f>(0+17079)</f>
        <v>17079</v>
      </c>
      <c r="I51" s="3">
        <f>((62402+102477+0)-(0+17079))</f>
        <v>147800</v>
      </c>
    </row>
    <row r="52" spans="1:9" ht="14" x14ac:dyDescent="0.3">
      <c r="A52" s="2" t="s">
        <v>18</v>
      </c>
      <c r="B52" s="3">
        <f>177178</f>
        <v>177178</v>
      </c>
      <c r="C52" s="3">
        <f>35807</f>
        <v>35807</v>
      </c>
      <c r="D52" s="3">
        <f>0</f>
        <v>0</v>
      </c>
      <c r="E52" s="3">
        <f>(177178+35807+0)</f>
        <v>212985</v>
      </c>
      <c r="F52" s="3">
        <f>19460</f>
        <v>19460</v>
      </c>
      <c r="G52" s="3">
        <f>164371</f>
        <v>164371</v>
      </c>
      <c r="H52" s="3">
        <f>(19460+164371)</f>
        <v>183831</v>
      </c>
      <c r="I52" s="3">
        <f>((177178+35807+0)-(19460+164371))</f>
        <v>29154</v>
      </c>
    </row>
    <row r="53" spans="1:9" ht="14" x14ac:dyDescent="0.3">
      <c r="A53" s="2" t="s">
        <v>19</v>
      </c>
      <c r="B53" s="3">
        <f>1900347</f>
        <v>1900347</v>
      </c>
      <c r="C53" s="3">
        <f>0</f>
        <v>0</v>
      </c>
      <c r="D53" s="3">
        <f>0</f>
        <v>0</v>
      </c>
      <c r="E53" s="3">
        <f>(1900347+0+0)</f>
        <v>1900347</v>
      </c>
      <c r="F53" s="3">
        <f>46949</f>
        <v>46949</v>
      </c>
      <c r="G53" s="3">
        <f>1786623</f>
        <v>1786623</v>
      </c>
      <c r="H53" s="3">
        <f>(46949+1786623)</f>
        <v>1833572</v>
      </c>
      <c r="I53" s="3">
        <f>((1900347+0+0)-(46949+1786623))</f>
        <v>66775</v>
      </c>
    </row>
    <row r="54" spans="1:9" ht="14" x14ac:dyDescent="0.3">
      <c r="A54" s="2" t="s">
        <v>20</v>
      </c>
      <c r="B54" s="3">
        <f>1546456</f>
        <v>1546456</v>
      </c>
      <c r="C54" s="3">
        <f>126769</f>
        <v>126769</v>
      </c>
      <c r="D54" s="3">
        <f>0</f>
        <v>0</v>
      </c>
      <c r="E54" s="3">
        <f>(1546456+126769+0)</f>
        <v>1673225</v>
      </c>
      <c r="F54" s="3">
        <f>1040068</f>
        <v>1040068</v>
      </c>
      <c r="G54" s="3">
        <f>602093</f>
        <v>602093</v>
      </c>
      <c r="H54" s="3">
        <f>(1040068+602093)</f>
        <v>1642161</v>
      </c>
      <c r="I54" s="3">
        <f>((1546456+126769+0)-(1040068+602093))</f>
        <v>31064</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5459007</f>
        <v>5459007</v>
      </c>
      <c r="C56" s="3">
        <f>0</f>
        <v>0</v>
      </c>
      <c r="D56" s="3">
        <f>0</f>
        <v>0</v>
      </c>
      <c r="E56" s="3">
        <f>(5459007+0+0)</f>
        <v>5459007</v>
      </c>
      <c r="F56" s="3">
        <f>0</f>
        <v>0</v>
      </c>
      <c r="G56" s="3">
        <f>5247376</f>
        <v>5247376</v>
      </c>
      <c r="H56" s="3">
        <f>(0+5247376)</f>
        <v>5247376</v>
      </c>
      <c r="I56" s="3">
        <f>((5459007+0+0)-(0+5247376))</f>
        <v>211631</v>
      </c>
    </row>
    <row r="57" spans="1:9" ht="14" x14ac:dyDescent="0.3">
      <c r="A57" s="2" t="s">
        <v>23</v>
      </c>
      <c r="B57" s="3">
        <f>4062585</f>
        <v>4062585</v>
      </c>
      <c r="C57" s="3">
        <f>925740</f>
        <v>925740</v>
      </c>
      <c r="D57" s="3">
        <f>0</f>
        <v>0</v>
      </c>
      <c r="E57" s="3">
        <f>(4062585+925740+0)</f>
        <v>4988325</v>
      </c>
      <c r="F57" s="3">
        <f>0</f>
        <v>0</v>
      </c>
      <c r="G57" s="3">
        <f>4938020</f>
        <v>4938020</v>
      </c>
      <c r="H57" s="3">
        <f>(0+4938020)</f>
        <v>4938020</v>
      </c>
      <c r="I57" s="3">
        <f>((4062585+925740+0)-(0+4938020))</f>
        <v>50305</v>
      </c>
    </row>
    <row r="58" spans="1:9" ht="14" x14ac:dyDescent="0.3">
      <c r="A58" s="2" t="s">
        <v>24</v>
      </c>
      <c r="B58" s="3">
        <f>479234</f>
        <v>479234</v>
      </c>
      <c r="C58" s="3">
        <f>0</f>
        <v>0</v>
      </c>
      <c r="D58" s="3">
        <f>0</f>
        <v>0</v>
      </c>
      <c r="E58" s="3">
        <f>(479234+0+0)</f>
        <v>479234</v>
      </c>
      <c r="F58" s="3">
        <f>29685</f>
        <v>29685</v>
      </c>
      <c r="G58" s="3">
        <f>427987</f>
        <v>427987</v>
      </c>
      <c r="H58" s="3">
        <f>(29685+427987)</f>
        <v>457672</v>
      </c>
      <c r="I58" s="3">
        <f>((479234+0+0)-(29685+427987))</f>
        <v>21562</v>
      </c>
    </row>
    <row r="59" spans="1:9" ht="14" x14ac:dyDescent="0.3">
      <c r="A59" s="2" t="s">
        <v>25</v>
      </c>
      <c r="B59" s="3">
        <f>0</f>
        <v>0</v>
      </c>
      <c r="C59" s="3">
        <f>0</f>
        <v>0</v>
      </c>
      <c r="D59" s="3">
        <f>0</f>
        <v>0</v>
      </c>
      <c r="E59" s="3">
        <f>(0+0+0)</f>
        <v>0</v>
      </c>
      <c r="F59" s="3">
        <f>0</f>
        <v>0</v>
      </c>
      <c r="G59" s="3">
        <f>0</f>
        <v>0</v>
      </c>
      <c r="H59" s="3">
        <f>(0+0)</f>
        <v>0</v>
      </c>
      <c r="I59" s="3">
        <f>((0+0+0)-(0+0))</f>
        <v>0</v>
      </c>
    </row>
    <row r="60" spans="1:9" ht="14" x14ac:dyDescent="0.3">
      <c r="A60" s="2" t="s">
        <v>26</v>
      </c>
      <c r="B60" s="3">
        <f>440523</f>
        <v>440523</v>
      </c>
      <c r="C60" s="3">
        <f>12301</f>
        <v>12301</v>
      </c>
      <c r="D60" s="3">
        <f>0</f>
        <v>0</v>
      </c>
      <c r="E60" s="3">
        <f>(440523+12301+0)</f>
        <v>452824</v>
      </c>
      <c r="F60" s="3">
        <f>1002</f>
        <v>1002</v>
      </c>
      <c r="G60" s="3">
        <f>154814</f>
        <v>154814</v>
      </c>
      <c r="H60" s="3">
        <f>(1002+154814)</f>
        <v>155816</v>
      </c>
      <c r="I60" s="3">
        <f>((440523+12301+0)-(1002+154814))</f>
        <v>297008</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2051804</f>
        <v>2051804</v>
      </c>
      <c r="C64" s="3">
        <f>0</f>
        <v>0</v>
      </c>
      <c r="D64" s="3">
        <f>0</f>
        <v>0</v>
      </c>
      <c r="E64" s="3">
        <f>(2051804+0+0)</f>
        <v>2051804</v>
      </c>
      <c r="F64" s="3">
        <f>0</f>
        <v>0</v>
      </c>
      <c r="G64" s="3">
        <f>354683</f>
        <v>354683</v>
      </c>
      <c r="H64" s="3">
        <f>(0+354683)</f>
        <v>354683</v>
      </c>
      <c r="I64" s="3">
        <f>((2051804+0+0)-(0+354683))</f>
        <v>1697121</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2759854</f>
        <v>2759854</v>
      </c>
      <c r="C66" s="3">
        <f>0</f>
        <v>0</v>
      </c>
      <c r="D66" s="3">
        <f>0</f>
        <v>0</v>
      </c>
      <c r="E66" s="3">
        <f>(2759854+0+0)</f>
        <v>2759854</v>
      </c>
      <c r="F66" s="3">
        <f>0</f>
        <v>0</v>
      </c>
      <c r="G66" s="3">
        <f>635850</f>
        <v>635850</v>
      </c>
      <c r="H66" s="3">
        <f>(0+635850)</f>
        <v>635850</v>
      </c>
      <c r="I66" s="3">
        <f>((2759854+0+0)-(0+635850))</f>
        <v>2124004</v>
      </c>
    </row>
    <row r="67" spans="1:9" ht="14" x14ac:dyDescent="0.3">
      <c r="A67" s="2" t="s">
        <v>13</v>
      </c>
      <c r="B67" s="3">
        <f>960402</f>
        <v>960402</v>
      </c>
      <c r="C67" s="3">
        <f>0</f>
        <v>0</v>
      </c>
      <c r="D67" s="3">
        <f>0</f>
        <v>0</v>
      </c>
      <c r="E67" s="3">
        <f>(960402+0+0)</f>
        <v>960402</v>
      </c>
      <c r="F67" s="3">
        <f>0</f>
        <v>0</v>
      </c>
      <c r="G67" s="3">
        <f>0</f>
        <v>0</v>
      </c>
      <c r="H67" s="3">
        <f>(0+0)</f>
        <v>0</v>
      </c>
      <c r="I67" s="3">
        <f>((960402+0+0)-(0+0))</f>
        <v>960402</v>
      </c>
    </row>
    <row r="68" spans="1:9" ht="14" x14ac:dyDescent="0.3">
      <c r="A68" s="2" t="s">
        <v>14</v>
      </c>
      <c r="B68" s="3">
        <f>2829975</f>
        <v>2829975</v>
      </c>
      <c r="C68" s="3">
        <f>0</f>
        <v>0</v>
      </c>
      <c r="D68" s="3">
        <f>0</f>
        <v>0</v>
      </c>
      <c r="E68" s="3">
        <f>(2829975+0+0)</f>
        <v>2829975</v>
      </c>
      <c r="F68" s="3">
        <f>3161</f>
        <v>3161</v>
      </c>
      <c r="G68" s="3">
        <f>17790</f>
        <v>17790</v>
      </c>
      <c r="H68" s="3">
        <f>(3161+17790)</f>
        <v>20951</v>
      </c>
      <c r="I68" s="3">
        <f>((2829975+0+0)-(3161+17790))</f>
        <v>2809024</v>
      </c>
    </row>
    <row r="69" spans="1:9" ht="14" x14ac:dyDescent="0.3">
      <c r="A69" s="2" t="s">
        <v>15</v>
      </c>
      <c r="B69" s="3">
        <f>2873442</f>
        <v>2873442</v>
      </c>
      <c r="C69" s="3">
        <f>0</f>
        <v>0</v>
      </c>
      <c r="D69" s="3">
        <f>0</f>
        <v>0</v>
      </c>
      <c r="E69" s="3">
        <f>(2873442+0+0)</f>
        <v>2873442</v>
      </c>
      <c r="F69" s="3">
        <f>0</f>
        <v>0</v>
      </c>
      <c r="G69" s="3">
        <f>283923</f>
        <v>283923</v>
      </c>
      <c r="H69" s="3">
        <f>(0+283923)</f>
        <v>283923</v>
      </c>
      <c r="I69" s="3">
        <f>((2873442+0+0)-(0+283923))</f>
        <v>2589519</v>
      </c>
    </row>
    <row r="70" spans="1:9" ht="14" x14ac:dyDescent="0.3">
      <c r="A70" s="2" t="s">
        <v>16</v>
      </c>
      <c r="B70" s="3">
        <f>1774846</f>
        <v>1774846</v>
      </c>
      <c r="C70" s="3">
        <f>0</f>
        <v>0</v>
      </c>
      <c r="D70" s="3">
        <f>0</f>
        <v>0</v>
      </c>
      <c r="E70" s="3">
        <f>(1774846+0+0)</f>
        <v>1774846</v>
      </c>
      <c r="F70" s="3">
        <f>1290</f>
        <v>1290</v>
      </c>
      <c r="G70" s="3">
        <f>4725</f>
        <v>4725</v>
      </c>
      <c r="H70" s="3">
        <f>(1290+4725)</f>
        <v>6015</v>
      </c>
      <c r="I70" s="3">
        <f>((1774846+0+0)-(1290+4725))</f>
        <v>1768831</v>
      </c>
    </row>
    <row r="71" spans="1:9" ht="14" x14ac:dyDescent="0.3">
      <c r="A71" s="2" t="s">
        <v>17</v>
      </c>
      <c r="B71" s="3">
        <f>184416</f>
        <v>184416</v>
      </c>
      <c r="C71" s="3">
        <f>0</f>
        <v>0</v>
      </c>
      <c r="D71" s="3">
        <f>0</f>
        <v>0</v>
      </c>
      <c r="E71" s="3">
        <f>(184416+0+0)</f>
        <v>184416</v>
      </c>
      <c r="F71" s="3">
        <f>0</f>
        <v>0</v>
      </c>
      <c r="G71" s="3">
        <f>0</f>
        <v>0</v>
      </c>
      <c r="H71" s="3">
        <f>(0+0)</f>
        <v>0</v>
      </c>
      <c r="I71" s="3">
        <f>((184416+0+0)-(0+0))</f>
        <v>184416</v>
      </c>
    </row>
    <row r="72" spans="1:9" ht="14" x14ac:dyDescent="0.3">
      <c r="A72" s="2" t="s">
        <v>18</v>
      </c>
      <c r="B72" s="3">
        <f>147459</f>
        <v>147459</v>
      </c>
      <c r="C72" s="3">
        <f>0</f>
        <v>0</v>
      </c>
      <c r="D72" s="3">
        <f>0</f>
        <v>0</v>
      </c>
      <c r="E72" s="3">
        <f>(147459+0+0)</f>
        <v>147459</v>
      </c>
      <c r="F72" s="3">
        <f>0</f>
        <v>0</v>
      </c>
      <c r="G72" s="3">
        <f>2111</f>
        <v>2111</v>
      </c>
      <c r="H72" s="3">
        <f>(0+2111)</f>
        <v>2111</v>
      </c>
      <c r="I72" s="3">
        <f>((147459+0+0)-(0+2111))</f>
        <v>145348</v>
      </c>
    </row>
    <row r="73" spans="1:9" ht="14" x14ac:dyDescent="0.3">
      <c r="A73" s="2" t="s">
        <v>19</v>
      </c>
      <c r="B73" s="3">
        <f>1231346</f>
        <v>1231346</v>
      </c>
      <c r="C73" s="3">
        <f>0</f>
        <v>0</v>
      </c>
      <c r="D73" s="3">
        <f>0</f>
        <v>0</v>
      </c>
      <c r="E73" s="3">
        <f>(1231346+0+0)</f>
        <v>1231346</v>
      </c>
      <c r="F73" s="3">
        <f>0</f>
        <v>0</v>
      </c>
      <c r="G73" s="3">
        <f>368037</f>
        <v>368037</v>
      </c>
      <c r="H73" s="3">
        <f>(0+368037)</f>
        <v>368037</v>
      </c>
      <c r="I73" s="3">
        <f>((1231346+0+0)-(0+368037))</f>
        <v>863309</v>
      </c>
    </row>
    <row r="74" spans="1:9" ht="14" x14ac:dyDescent="0.3">
      <c r="A74" s="2" t="s">
        <v>20</v>
      </c>
      <c r="B74" s="3">
        <f>108261</f>
        <v>108261</v>
      </c>
      <c r="C74" s="3">
        <f>0</f>
        <v>0</v>
      </c>
      <c r="D74" s="3">
        <f>0</f>
        <v>0</v>
      </c>
      <c r="E74" s="3">
        <f>(108261+0+0)</f>
        <v>108261</v>
      </c>
      <c r="F74" s="3">
        <f>0</f>
        <v>0</v>
      </c>
      <c r="G74" s="3">
        <f>17498</f>
        <v>17498</v>
      </c>
      <c r="H74" s="3">
        <f>(0+17498)</f>
        <v>17498</v>
      </c>
      <c r="I74" s="3">
        <f>((108261+0+0)-(0+17498))</f>
        <v>90763</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3769214</f>
        <v>3769214</v>
      </c>
      <c r="C76" s="3">
        <f>0</f>
        <v>0</v>
      </c>
      <c r="D76" s="3">
        <f>0</f>
        <v>0</v>
      </c>
      <c r="E76" s="3">
        <f>(3769214+0+0)</f>
        <v>3769214</v>
      </c>
      <c r="F76" s="3">
        <f>0</f>
        <v>0</v>
      </c>
      <c r="G76" s="3">
        <f>0</f>
        <v>0</v>
      </c>
      <c r="H76" s="3">
        <f>(0+0)</f>
        <v>0</v>
      </c>
      <c r="I76" s="3">
        <f>((3769214+0+0)-(0+0))</f>
        <v>3769214</v>
      </c>
    </row>
    <row r="77" spans="1:9" ht="14" x14ac:dyDescent="0.3">
      <c r="A77" s="2" t="s">
        <v>23</v>
      </c>
      <c r="B77" s="3">
        <f>94941</f>
        <v>94941</v>
      </c>
      <c r="C77" s="3">
        <f>0</f>
        <v>0</v>
      </c>
      <c r="D77" s="3">
        <f>0</f>
        <v>0</v>
      </c>
      <c r="E77" s="3">
        <f>(94941+0+0)</f>
        <v>94941</v>
      </c>
      <c r="F77" s="3">
        <f>0</f>
        <v>0</v>
      </c>
      <c r="G77" s="3">
        <f>26475</f>
        <v>26475</v>
      </c>
      <c r="H77" s="3">
        <f>(0+26475)</f>
        <v>26475</v>
      </c>
      <c r="I77" s="3">
        <f>((94941+0+0)-(0+26475))</f>
        <v>68466</v>
      </c>
    </row>
    <row r="78" spans="1:9" ht="14" x14ac:dyDescent="0.3">
      <c r="A78" s="2" t="s">
        <v>24</v>
      </c>
      <c r="B78" s="3">
        <f>1367818</f>
        <v>1367818</v>
      </c>
      <c r="C78" s="3">
        <f>0</f>
        <v>0</v>
      </c>
      <c r="D78" s="3">
        <f>0</f>
        <v>0</v>
      </c>
      <c r="E78" s="3">
        <f>(1367818+0+0)</f>
        <v>1367818</v>
      </c>
      <c r="F78" s="3">
        <f>0</f>
        <v>0</v>
      </c>
      <c r="G78" s="3">
        <f>414755</f>
        <v>414755</v>
      </c>
      <c r="H78" s="3">
        <f>(0+414755)</f>
        <v>414755</v>
      </c>
      <c r="I78" s="3">
        <f>((1367818+0+0)-(0+414755))</f>
        <v>953063</v>
      </c>
    </row>
    <row r="79" spans="1:9" ht="14" x14ac:dyDescent="0.3">
      <c r="A79" s="2" t="s">
        <v>25</v>
      </c>
      <c r="B79" s="3">
        <f>0</f>
        <v>0</v>
      </c>
      <c r="C79" s="3">
        <f>0</f>
        <v>0</v>
      </c>
      <c r="D79" s="3">
        <f>0</f>
        <v>0</v>
      </c>
      <c r="E79" s="3">
        <f>(0+0+0)</f>
        <v>0</v>
      </c>
      <c r="F79" s="3">
        <f>0</f>
        <v>0</v>
      </c>
      <c r="G79" s="3">
        <f>0</f>
        <v>0</v>
      </c>
      <c r="H79" s="3">
        <f>(0+0)</f>
        <v>0</v>
      </c>
      <c r="I79" s="3">
        <f>((0+0+0)-(0+0))</f>
        <v>0</v>
      </c>
    </row>
    <row r="80" spans="1:9" ht="14" x14ac:dyDescent="0.3">
      <c r="A80" s="2" t="s">
        <v>26</v>
      </c>
      <c r="B80" s="3">
        <f>2788047</f>
        <v>2788047</v>
      </c>
      <c r="C80" s="3">
        <f>0</f>
        <v>0</v>
      </c>
      <c r="D80" s="3">
        <f>0</f>
        <v>0</v>
      </c>
      <c r="E80" s="3">
        <f>(2788047+0+0)</f>
        <v>2788047</v>
      </c>
      <c r="F80" s="3">
        <f>0</f>
        <v>0</v>
      </c>
      <c r="G80" s="3">
        <f>1104</f>
        <v>1104</v>
      </c>
      <c r="H80" s="3">
        <f>(0+1104)</f>
        <v>1104</v>
      </c>
      <c r="I80" s="3">
        <f>((2788047+0+0)-(0+1104))</f>
        <v>2786943</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2160910</f>
        <v>2160910</v>
      </c>
      <c r="C84" s="3">
        <f>0</f>
        <v>0</v>
      </c>
      <c r="D84" s="3">
        <f>0</f>
        <v>0</v>
      </c>
      <c r="E84" s="3">
        <f>(2160910+0+0)</f>
        <v>2160910</v>
      </c>
      <c r="F84" s="3">
        <f>0</f>
        <v>0</v>
      </c>
      <c r="G84" s="3">
        <f>327671</f>
        <v>327671</v>
      </c>
      <c r="H84" s="3">
        <f>(0+327671)</f>
        <v>327671</v>
      </c>
      <c r="I84" s="3">
        <f>((2160910+0+0)-(0+327671))</f>
        <v>1833239</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4139782</f>
        <v>4139782</v>
      </c>
      <c r="C86" s="3">
        <f>0</f>
        <v>0</v>
      </c>
      <c r="D86" s="3">
        <f>0</f>
        <v>0</v>
      </c>
      <c r="E86" s="3">
        <f>(4139782+0+0)</f>
        <v>4139782</v>
      </c>
      <c r="F86" s="3">
        <f>0</f>
        <v>0</v>
      </c>
      <c r="G86" s="3">
        <f>953774</f>
        <v>953774</v>
      </c>
      <c r="H86" s="3">
        <f>(0+953774)</f>
        <v>953774</v>
      </c>
      <c r="I86" s="3">
        <f>((4139782+0+0)-(0+953774))</f>
        <v>3186008</v>
      </c>
    </row>
    <row r="87" spans="1:9" ht="14" x14ac:dyDescent="0.3">
      <c r="A87" s="2" t="s">
        <v>13</v>
      </c>
      <c r="B87" s="3">
        <f>894581</f>
        <v>894581</v>
      </c>
      <c r="C87" s="3">
        <f>0</f>
        <v>0</v>
      </c>
      <c r="D87" s="3">
        <f>0</f>
        <v>0</v>
      </c>
      <c r="E87" s="3">
        <f>(894581+0+0)</f>
        <v>894581</v>
      </c>
      <c r="F87" s="3">
        <f>0</f>
        <v>0</v>
      </c>
      <c r="G87" s="3">
        <f>0</f>
        <v>0</v>
      </c>
      <c r="H87" s="3">
        <f>(0+0)</f>
        <v>0</v>
      </c>
      <c r="I87" s="3">
        <f>((894581+0+0)-(0+0))</f>
        <v>894581</v>
      </c>
    </row>
    <row r="88" spans="1:9" ht="14" x14ac:dyDescent="0.3">
      <c r="A88" s="2" t="s">
        <v>14</v>
      </c>
      <c r="B88" s="3">
        <f>3560257</f>
        <v>3560257</v>
      </c>
      <c r="C88" s="3">
        <f>0</f>
        <v>0</v>
      </c>
      <c r="D88" s="3">
        <f>0</f>
        <v>0</v>
      </c>
      <c r="E88" s="3">
        <f>(3560257+0+0)</f>
        <v>3560257</v>
      </c>
      <c r="F88" s="3">
        <f>6537</f>
        <v>6537</v>
      </c>
      <c r="G88" s="3">
        <f>37164</f>
        <v>37164</v>
      </c>
      <c r="H88" s="3">
        <f>(6537+37164)</f>
        <v>43701</v>
      </c>
      <c r="I88" s="3">
        <f>((3560257+0+0)-(6537+37164))</f>
        <v>3516556</v>
      </c>
    </row>
    <row r="89" spans="1:9" ht="14" x14ac:dyDescent="0.3">
      <c r="A89" s="2" t="s">
        <v>15</v>
      </c>
      <c r="B89" s="3">
        <f>2406558</f>
        <v>2406558</v>
      </c>
      <c r="C89" s="3">
        <f>0</f>
        <v>0</v>
      </c>
      <c r="D89" s="3">
        <f>0</f>
        <v>0</v>
      </c>
      <c r="E89" s="3">
        <f>(2406558+0+0)</f>
        <v>2406558</v>
      </c>
      <c r="F89" s="3">
        <f>0</f>
        <v>0</v>
      </c>
      <c r="G89" s="3">
        <f>237790</f>
        <v>237790</v>
      </c>
      <c r="H89" s="3">
        <f>(0+237790)</f>
        <v>237790</v>
      </c>
      <c r="I89" s="3">
        <f>((2406558+0+0)-(0+237790))</f>
        <v>2168768</v>
      </c>
    </row>
    <row r="90" spans="1:9" ht="14" x14ac:dyDescent="0.3">
      <c r="A90" s="2" t="s">
        <v>16</v>
      </c>
      <c r="B90" s="3">
        <f>1760161</f>
        <v>1760161</v>
      </c>
      <c r="C90" s="3">
        <f>0</f>
        <v>0</v>
      </c>
      <c r="D90" s="3">
        <f>0</f>
        <v>0</v>
      </c>
      <c r="E90" s="3">
        <f>(1760161+0+0)</f>
        <v>1760161</v>
      </c>
      <c r="F90" s="3">
        <f>1280</f>
        <v>1280</v>
      </c>
      <c r="G90" s="3">
        <f>4686</f>
        <v>4686</v>
      </c>
      <c r="H90" s="3">
        <f>(1280+4686)</f>
        <v>5966</v>
      </c>
      <c r="I90" s="3">
        <f>((1760161+0+0)-(1280+4686))</f>
        <v>1754195</v>
      </c>
    </row>
    <row r="91" spans="1:9" ht="14" x14ac:dyDescent="0.3">
      <c r="A91" s="2" t="s">
        <v>17</v>
      </c>
      <c r="B91" s="3">
        <f>371982</f>
        <v>371982</v>
      </c>
      <c r="C91" s="3">
        <f>0</f>
        <v>0</v>
      </c>
      <c r="D91" s="3">
        <f>0</f>
        <v>0</v>
      </c>
      <c r="E91" s="3">
        <f>(371982+0+0)</f>
        <v>371982</v>
      </c>
      <c r="F91" s="3">
        <f>0</f>
        <v>0</v>
      </c>
      <c r="G91" s="3">
        <f>0</f>
        <v>0</v>
      </c>
      <c r="H91" s="3">
        <f>(0+0)</f>
        <v>0</v>
      </c>
      <c r="I91" s="3">
        <f>((371982+0+0)-(0+0))</f>
        <v>371982</v>
      </c>
    </row>
    <row r="92" spans="1:9" ht="14" x14ac:dyDescent="0.3">
      <c r="A92" s="2" t="s">
        <v>18</v>
      </c>
      <c r="B92" s="3">
        <f>39385</f>
        <v>39385</v>
      </c>
      <c r="C92" s="3">
        <f>0</f>
        <v>0</v>
      </c>
      <c r="D92" s="3">
        <f>0</f>
        <v>0</v>
      </c>
      <c r="E92" s="3">
        <f>(39385+0+0)</f>
        <v>39385</v>
      </c>
      <c r="F92" s="3">
        <f>0</f>
        <v>0</v>
      </c>
      <c r="G92" s="3">
        <f>0</f>
        <v>0</v>
      </c>
      <c r="H92" s="3">
        <f>(0+0)</f>
        <v>0</v>
      </c>
      <c r="I92" s="3">
        <f>((39385+0+0)-(0+0))</f>
        <v>39385</v>
      </c>
    </row>
    <row r="93" spans="1:9" ht="14" x14ac:dyDescent="0.3">
      <c r="A93" s="2" t="s">
        <v>19</v>
      </c>
      <c r="B93" s="3">
        <f>1007465</f>
        <v>1007465</v>
      </c>
      <c r="C93" s="3">
        <f>0</f>
        <v>0</v>
      </c>
      <c r="D93" s="3">
        <f>0</f>
        <v>0</v>
      </c>
      <c r="E93" s="3">
        <f>(1007465+0+0)</f>
        <v>1007465</v>
      </c>
      <c r="F93" s="3">
        <f>0</f>
        <v>0</v>
      </c>
      <c r="G93" s="3">
        <f>301116</f>
        <v>301116</v>
      </c>
      <c r="H93" s="3">
        <f>(0+301116)</f>
        <v>301116</v>
      </c>
      <c r="I93" s="3">
        <f>((1007465+0+0)-(0+301116))</f>
        <v>706349</v>
      </c>
    </row>
    <row r="94" spans="1:9" ht="14" x14ac:dyDescent="0.3">
      <c r="A94" s="2" t="s">
        <v>20</v>
      </c>
      <c r="B94" s="3">
        <f>1814</f>
        <v>1814</v>
      </c>
      <c r="C94" s="3">
        <f>0</f>
        <v>0</v>
      </c>
      <c r="D94" s="3">
        <f>0</f>
        <v>0</v>
      </c>
      <c r="E94" s="3">
        <f>(1814+0+0)</f>
        <v>1814</v>
      </c>
      <c r="F94" s="3">
        <f>0</f>
        <v>0</v>
      </c>
      <c r="G94" s="3">
        <f>0</f>
        <v>0</v>
      </c>
      <c r="H94" s="3">
        <f>(0+0)</f>
        <v>0</v>
      </c>
      <c r="I94" s="3">
        <f>((1814+0+0)-(0+0))</f>
        <v>1814</v>
      </c>
    </row>
    <row r="95" spans="1:9" ht="14" x14ac:dyDescent="0.3">
      <c r="A95" s="2" t="s">
        <v>21</v>
      </c>
      <c r="B95" s="3">
        <f>0</f>
        <v>0</v>
      </c>
      <c r="C95" s="3">
        <f>0</f>
        <v>0</v>
      </c>
      <c r="D95" s="3">
        <f>0</f>
        <v>0</v>
      </c>
      <c r="E95" s="3">
        <f>(0+0+0)</f>
        <v>0</v>
      </c>
      <c r="F95" s="3">
        <f>0</f>
        <v>0</v>
      </c>
      <c r="G95" s="3">
        <f>0</f>
        <v>0</v>
      </c>
      <c r="H95" s="3">
        <f>(0+0)</f>
        <v>0</v>
      </c>
      <c r="I95" s="3">
        <f>((0+0+0)-(0+0))</f>
        <v>0</v>
      </c>
    </row>
    <row r="96" spans="1:9" ht="14" x14ac:dyDescent="0.3">
      <c r="A96" s="2" t="s">
        <v>22</v>
      </c>
      <c r="B96" s="3">
        <f>4287777</f>
        <v>4287777</v>
      </c>
      <c r="C96" s="3">
        <f>0</f>
        <v>0</v>
      </c>
      <c r="D96" s="3">
        <f>0</f>
        <v>0</v>
      </c>
      <c r="E96" s="3">
        <f>(4287777+0+0)</f>
        <v>4287777</v>
      </c>
      <c r="F96" s="3">
        <f>0</f>
        <v>0</v>
      </c>
      <c r="G96" s="3">
        <f>0</f>
        <v>0</v>
      </c>
      <c r="H96" s="3">
        <f>(0+0)</f>
        <v>0</v>
      </c>
      <c r="I96" s="3">
        <f>((4287777+0+0)-(0+0))</f>
        <v>4287777</v>
      </c>
    </row>
    <row r="97" spans="1:9" ht="14" x14ac:dyDescent="0.3">
      <c r="A97" s="2" t="s">
        <v>23</v>
      </c>
      <c r="B97" s="3">
        <f>3390</f>
        <v>3390</v>
      </c>
      <c r="C97" s="3">
        <f>0</f>
        <v>0</v>
      </c>
      <c r="D97" s="3">
        <f>0</f>
        <v>0</v>
      </c>
      <c r="E97" s="3">
        <f>(3390+0+0)</f>
        <v>3390</v>
      </c>
      <c r="F97" s="3">
        <f>0</f>
        <v>0</v>
      </c>
      <c r="G97" s="3">
        <f>2989</f>
        <v>2989</v>
      </c>
      <c r="H97" s="3">
        <f>(0+2989)</f>
        <v>2989</v>
      </c>
      <c r="I97" s="3">
        <f>((3390+0+0)-(0+2989))</f>
        <v>401</v>
      </c>
    </row>
    <row r="98" spans="1:9" ht="14" x14ac:dyDescent="0.3">
      <c r="A98" s="2" t="s">
        <v>24</v>
      </c>
      <c r="B98" s="3">
        <f>1012641</f>
        <v>1012641</v>
      </c>
      <c r="C98" s="3">
        <f>0</f>
        <v>0</v>
      </c>
      <c r="D98" s="3">
        <f>0</f>
        <v>0</v>
      </c>
      <c r="E98" s="3">
        <f>(1012641+0+0)</f>
        <v>1012641</v>
      </c>
      <c r="F98" s="3">
        <f>0</f>
        <v>0</v>
      </c>
      <c r="G98" s="3">
        <f>303792</f>
        <v>303792</v>
      </c>
      <c r="H98" s="3">
        <f>(0+303792)</f>
        <v>303792</v>
      </c>
      <c r="I98" s="3">
        <f>((1012641+0+0)-(0+303792))</f>
        <v>708849</v>
      </c>
    </row>
    <row r="99" spans="1:9" ht="14" x14ac:dyDescent="0.3">
      <c r="A99" s="2" t="s">
        <v>25</v>
      </c>
      <c r="B99" s="3">
        <f>0</f>
        <v>0</v>
      </c>
      <c r="C99" s="3">
        <f>0</f>
        <v>0</v>
      </c>
      <c r="D99" s="3">
        <f>0</f>
        <v>0</v>
      </c>
      <c r="E99" s="3">
        <f>(0+0+0)</f>
        <v>0</v>
      </c>
      <c r="F99" s="3">
        <f>0</f>
        <v>0</v>
      </c>
      <c r="G99" s="3">
        <f>0</f>
        <v>0</v>
      </c>
      <c r="H99" s="3">
        <f>(0+0)</f>
        <v>0</v>
      </c>
      <c r="I99" s="3">
        <f>((0+0+0)-(0+0))</f>
        <v>0</v>
      </c>
    </row>
    <row r="100" spans="1:9" ht="14" x14ac:dyDescent="0.3">
      <c r="A100" s="2" t="s">
        <v>26</v>
      </c>
      <c r="B100" s="3">
        <f>4283</f>
        <v>4283</v>
      </c>
      <c r="C100" s="3">
        <f>0</f>
        <v>0</v>
      </c>
      <c r="D100" s="3">
        <f>0</f>
        <v>0</v>
      </c>
      <c r="E100" s="3">
        <f>(4283+0+0)</f>
        <v>4283</v>
      </c>
      <c r="F100" s="3">
        <f>0</f>
        <v>0</v>
      </c>
      <c r="G100" s="3">
        <f>0</f>
        <v>0</v>
      </c>
      <c r="H100" s="3">
        <f>(0+0)</f>
        <v>0</v>
      </c>
      <c r="I100" s="3">
        <f>((4283+0+0)-(0+0))</f>
        <v>4283</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502119</f>
        <v>502119</v>
      </c>
      <c r="C104" s="3">
        <f>0</f>
        <v>0</v>
      </c>
      <c r="D104" s="3">
        <f>0</f>
        <v>0</v>
      </c>
      <c r="E104" s="3">
        <f>(502119+0+0)</f>
        <v>502119</v>
      </c>
      <c r="F104" s="3">
        <f>222</f>
        <v>222</v>
      </c>
      <c r="G104" s="3">
        <f>296884</f>
        <v>296884</v>
      </c>
      <c r="H104" s="3">
        <f>(222+296884)</f>
        <v>297106</v>
      </c>
      <c r="I104" s="3">
        <f>((502119+0+0)-(222+296884))</f>
        <v>205013</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328651</f>
        <v>328651</v>
      </c>
      <c r="C106" s="3">
        <f>0</f>
        <v>0</v>
      </c>
      <c r="D106" s="3">
        <f>0</f>
        <v>0</v>
      </c>
      <c r="E106" s="3">
        <f>(328651+0+0)</f>
        <v>328651</v>
      </c>
      <c r="F106" s="3">
        <f>0</f>
        <v>0</v>
      </c>
      <c r="G106" s="3">
        <f>266769</f>
        <v>266769</v>
      </c>
      <c r="H106" s="3">
        <f>(0+266769)</f>
        <v>266769</v>
      </c>
      <c r="I106" s="3">
        <f>((328651+0+0)-(0+266769))</f>
        <v>61882</v>
      </c>
    </row>
    <row r="107" spans="1:9" ht="14" x14ac:dyDescent="0.3">
      <c r="A107" s="2" t="s">
        <v>13</v>
      </c>
      <c r="B107" s="3">
        <f>199289</f>
        <v>199289</v>
      </c>
      <c r="C107" s="3">
        <f>0</f>
        <v>0</v>
      </c>
      <c r="D107" s="3">
        <f>0</f>
        <v>0</v>
      </c>
      <c r="E107" s="3">
        <f>(199289+0+0)</f>
        <v>199289</v>
      </c>
      <c r="F107" s="3">
        <f>115</f>
        <v>115</v>
      </c>
      <c r="G107" s="3">
        <f>49685</f>
        <v>49685</v>
      </c>
      <c r="H107" s="3">
        <f>(115+49685)</f>
        <v>49800</v>
      </c>
      <c r="I107" s="3">
        <f>((199289+0+0)-(115+49685))</f>
        <v>149489</v>
      </c>
    </row>
    <row r="108" spans="1:9" ht="14" x14ac:dyDescent="0.3">
      <c r="A108" s="2" t="s">
        <v>14</v>
      </c>
      <c r="B108" s="3">
        <f>33566</f>
        <v>33566</v>
      </c>
      <c r="C108" s="3">
        <f>0</f>
        <v>0</v>
      </c>
      <c r="D108" s="3">
        <f>0</f>
        <v>0</v>
      </c>
      <c r="E108" s="3">
        <f>(33566+0+0)</f>
        <v>33566</v>
      </c>
      <c r="F108" s="3">
        <f>0</f>
        <v>0</v>
      </c>
      <c r="G108" s="3">
        <f>57</f>
        <v>57</v>
      </c>
      <c r="H108" s="3">
        <f>(0+57)</f>
        <v>57</v>
      </c>
      <c r="I108" s="3">
        <f>((33566+0+0)-(0+57))</f>
        <v>33509</v>
      </c>
    </row>
    <row r="109" spans="1:9" ht="14" x14ac:dyDescent="0.3">
      <c r="A109" s="2" t="s">
        <v>15</v>
      </c>
      <c r="B109" s="3">
        <f>1260488</f>
        <v>1260488</v>
      </c>
      <c r="C109" s="3">
        <f>0</f>
        <v>0</v>
      </c>
      <c r="D109" s="3">
        <f>0</f>
        <v>0</v>
      </c>
      <c r="E109" s="3">
        <f>(1260488+0+0)</f>
        <v>1260488</v>
      </c>
      <c r="F109" s="3">
        <f>697</f>
        <v>697</v>
      </c>
      <c r="G109" s="3">
        <f>1149021</f>
        <v>1149021</v>
      </c>
      <c r="H109" s="3">
        <f>(697+1149021)</f>
        <v>1149718</v>
      </c>
      <c r="I109" s="3">
        <f>((1260488+0+0)-(697+1149021))</f>
        <v>110770</v>
      </c>
    </row>
    <row r="110" spans="1:9" ht="14" x14ac:dyDescent="0.3">
      <c r="A110" s="2" t="s">
        <v>16</v>
      </c>
      <c r="B110" s="3">
        <f>87645</f>
        <v>87645</v>
      </c>
      <c r="C110" s="3">
        <f>0</f>
        <v>0</v>
      </c>
      <c r="D110" s="3">
        <f>0</f>
        <v>0</v>
      </c>
      <c r="E110" s="3">
        <f>(87645+0+0)</f>
        <v>87645</v>
      </c>
      <c r="F110" s="3">
        <f>933</f>
        <v>933</v>
      </c>
      <c r="G110" s="3">
        <f>69406</f>
        <v>69406</v>
      </c>
      <c r="H110" s="3">
        <f>(933+69406)</f>
        <v>70339</v>
      </c>
      <c r="I110" s="3">
        <f>((87645+0+0)-(933+69406))</f>
        <v>17306</v>
      </c>
    </row>
    <row r="111" spans="1:9" ht="14" x14ac:dyDescent="0.3">
      <c r="A111" s="2" t="s">
        <v>17</v>
      </c>
      <c r="B111" s="3">
        <f>3014</f>
        <v>3014</v>
      </c>
      <c r="C111" s="3">
        <f>0</f>
        <v>0</v>
      </c>
      <c r="D111" s="3">
        <f>0</f>
        <v>0</v>
      </c>
      <c r="E111" s="3">
        <f>(3014+0+0)</f>
        <v>3014</v>
      </c>
      <c r="F111" s="3">
        <f>0</f>
        <v>0</v>
      </c>
      <c r="G111" s="3">
        <f>0</f>
        <v>0</v>
      </c>
      <c r="H111" s="3">
        <f>(0+0)</f>
        <v>0</v>
      </c>
      <c r="I111" s="3">
        <f>((3014+0+0)-(0+0))</f>
        <v>3014</v>
      </c>
    </row>
    <row r="112" spans="1:9" ht="14" x14ac:dyDescent="0.3">
      <c r="A112" s="2" t="s">
        <v>18</v>
      </c>
      <c r="B112" s="3">
        <f>26692</f>
        <v>26692</v>
      </c>
      <c r="C112" s="3">
        <f>0</f>
        <v>0</v>
      </c>
      <c r="D112" s="3">
        <f>0</f>
        <v>0</v>
      </c>
      <c r="E112" s="3">
        <f>(26692+0+0)</f>
        <v>26692</v>
      </c>
      <c r="F112" s="3">
        <f>0</f>
        <v>0</v>
      </c>
      <c r="G112" s="3">
        <f>4005</f>
        <v>4005</v>
      </c>
      <c r="H112" s="3">
        <f>(0+4005)</f>
        <v>4005</v>
      </c>
      <c r="I112" s="3">
        <f>((26692+0+0)-(0+4005))</f>
        <v>22687</v>
      </c>
    </row>
    <row r="113" spans="1:9" ht="14" x14ac:dyDescent="0.3">
      <c r="A113" s="2" t="s">
        <v>19</v>
      </c>
      <c r="B113" s="3">
        <f>1489312</f>
        <v>1489312</v>
      </c>
      <c r="C113" s="3">
        <f>0</f>
        <v>0</v>
      </c>
      <c r="D113" s="3">
        <f>0</f>
        <v>0</v>
      </c>
      <c r="E113" s="3">
        <f>(1489312+0+0)</f>
        <v>1489312</v>
      </c>
      <c r="F113" s="3">
        <f>0</f>
        <v>0</v>
      </c>
      <c r="G113" s="3">
        <f>1464731</f>
        <v>1464731</v>
      </c>
      <c r="H113" s="3">
        <f>(0+1464731)</f>
        <v>1464731</v>
      </c>
      <c r="I113" s="3">
        <f>((1489312+0+0)-(0+1464731))</f>
        <v>24581</v>
      </c>
    </row>
    <row r="114" spans="1:9" ht="14" x14ac:dyDescent="0.3">
      <c r="A114" s="2" t="s">
        <v>20</v>
      </c>
      <c r="B114" s="3">
        <f>457737</f>
        <v>457737</v>
      </c>
      <c r="C114" s="3">
        <f>0</f>
        <v>0</v>
      </c>
      <c r="D114" s="3">
        <f>0</f>
        <v>0</v>
      </c>
      <c r="E114" s="3">
        <f>(457737+0+0)</f>
        <v>457737</v>
      </c>
      <c r="F114" s="3">
        <f>0</f>
        <v>0</v>
      </c>
      <c r="G114" s="3">
        <f>363249</f>
        <v>363249</v>
      </c>
      <c r="H114" s="3">
        <f>(0+363249)</f>
        <v>363249</v>
      </c>
      <c r="I114" s="3">
        <f>((457737+0+0)-(0+363249))</f>
        <v>94488</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1585367</f>
        <v>1585367</v>
      </c>
      <c r="C116" s="3">
        <f>0</f>
        <v>0</v>
      </c>
      <c r="D116" s="3">
        <f>0</f>
        <v>0</v>
      </c>
      <c r="E116" s="3">
        <f>(1585367+0+0)</f>
        <v>1585367</v>
      </c>
      <c r="F116" s="3">
        <f>0</f>
        <v>0</v>
      </c>
      <c r="G116" s="3">
        <f>1270610</f>
        <v>1270610</v>
      </c>
      <c r="H116" s="3">
        <f>(0+1270610)</f>
        <v>1270610</v>
      </c>
      <c r="I116" s="3">
        <f>((1585367+0+0)-(0+1270610))</f>
        <v>314757</v>
      </c>
    </row>
    <row r="117" spans="1:9" ht="14" x14ac:dyDescent="0.3">
      <c r="A117" s="2" t="s">
        <v>23</v>
      </c>
      <c r="B117" s="3">
        <f>226456</f>
        <v>226456</v>
      </c>
      <c r="C117" s="3">
        <f>0</f>
        <v>0</v>
      </c>
      <c r="D117" s="3">
        <f>0</f>
        <v>0</v>
      </c>
      <c r="E117" s="3">
        <f>(226456+0+0)</f>
        <v>226456</v>
      </c>
      <c r="F117" s="3">
        <f>0</f>
        <v>0</v>
      </c>
      <c r="G117" s="3">
        <f>(-62966)</f>
        <v>-62966</v>
      </c>
      <c r="H117" s="3">
        <f>(0+(-62966))</f>
        <v>-62966</v>
      </c>
      <c r="I117" s="3">
        <f>((226456+0+0)-(0+(-62966)))</f>
        <v>289422</v>
      </c>
    </row>
    <row r="118" spans="1:9" ht="14" x14ac:dyDescent="0.3">
      <c r="A118" s="2" t="s">
        <v>24</v>
      </c>
      <c r="B118" s="3">
        <f>331398</f>
        <v>331398</v>
      </c>
      <c r="C118" s="3">
        <f>0</f>
        <v>0</v>
      </c>
      <c r="D118" s="3">
        <f>0</f>
        <v>0</v>
      </c>
      <c r="E118" s="3">
        <f>(331398+0+0)</f>
        <v>331398</v>
      </c>
      <c r="F118" s="3">
        <f>0</f>
        <v>0</v>
      </c>
      <c r="G118" s="3">
        <f>280449</f>
        <v>280449</v>
      </c>
      <c r="H118" s="3">
        <f>(0+280449)</f>
        <v>280449</v>
      </c>
      <c r="I118" s="3">
        <f>((331398+0+0)-(0+280449))</f>
        <v>50949</v>
      </c>
    </row>
    <row r="119" spans="1:9" ht="14" x14ac:dyDescent="0.3">
      <c r="A119" s="2" t="s">
        <v>25</v>
      </c>
      <c r="B119" s="3">
        <f>0</f>
        <v>0</v>
      </c>
      <c r="C119" s="3">
        <f>0</f>
        <v>0</v>
      </c>
      <c r="D119" s="3">
        <f>0</f>
        <v>0</v>
      </c>
      <c r="E119" s="3">
        <f>(0+0+0)</f>
        <v>0</v>
      </c>
      <c r="F119" s="3">
        <f>0</f>
        <v>0</v>
      </c>
      <c r="G119" s="3">
        <f>0</f>
        <v>0</v>
      </c>
      <c r="H119" s="3">
        <f>(0+0)</f>
        <v>0</v>
      </c>
      <c r="I119" s="3">
        <f>((0+0+0)-(0+0))</f>
        <v>0</v>
      </c>
    </row>
    <row r="120" spans="1:9" ht="14" x14ac:dyDescent="0.3">
      <c r="A120" s="2" t="s">
        <v>26</v>
      </c>
      <c r="B120" s="3">
        <f>284979</f>
        <v>284979</v>
      </c>
      <c r="C120" s="3">
        <f>0</f>
        <v>0</v>
      </c>
      <c r="D120" s="3">
        <f>0</f>
        <v>0</v>
      </c>
      <c r="E120" s="3">
        <f>(284979+0+0)</f>
        <v>284979</v>
      </c>
      <c r="F120" s="3">
        <f>0</f>
        <v>0</v>
      </c>
      <c r="G120" s="3">
        <f>143268</f>
        <v>143268</v>
      </c>
      <c r="H120" s="3">
        <f>(0+143268)</f>
        <v>143268</v>
      </c>
      <c r="I120" s="3">
        <f>((284979+0+0)-(0+143268))</f>
        <v>141711</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546741</f>
        <v>546741</v>
      </c>
      <c r="C124" s="3">
        <f>0</f>
        <v>0</v>
      </c>
      <c r="D124" s="3">
        <f>0</f>
        <v>0</v>
      </c>
      <c r="E124" s="3">
        <f>(546741+0+0)</f>
        <v>546741</v>
      </c>
      <c r="F124" s="3">
        <f>16715</f>
        <v>16715</v>
      </c>
      <c r="G124" s="3">
        <f>313289</f>
        <v>313289</v>
      </c>
      <c r="H124" s="3">
        <f>(16715+313289)</f>
        <v>330004</v>
      </c>
      <c r="I124" s="3">
        <f>((546741+0+0)-(16715+313289))</f>
        <v>216737</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1014563</f>
        <v>1014563</v>
      </c>
      <c r="C126" s="3">
        <f>0</f>
        <v>0</v>
      </c>
      <c r="D126" s="3">
        <f>0</f>
        <v>0</v>
      </c>
      <c r="E126" s="3">
        <f>(1014563+0+0)</f>
        <v>1014563</v>
      </c>
      <c r="F126" s="3">
        <f>9517</f>
        <v>9517</v>
      </c>
      <c r="G126" s="3">
        <f>968697</f>
        <v>968697</v>
      </c>
      <c r="H126" s="3">
        <f>(9517+968697)</f>
        <v>978214</v>
      </c>
      <c r="I126" s="3">
        <f>((1014563+0+0)-(9517+968697))</f>
        <v>36349</v>
      </c>
    </row>
    <row r="127" spans="1:9" ht="14" x14ac:dyDescent="0.3">
      <c r="A127" s="2" t="s">
        <v>13</v>
      </c>
      <c r="B127" s="3">
        <f>664767</f>
        <v>664767</v>
      </c>
      <c r="C127" s="3">
        <f>12284</f>
        <v>12284</v>
      </c>
      <c r="D127" s="3">
        <f>0</f>
        <v>0</v>
      </c>
      <c r="E127" s="3">
        <f>(664767+12284+0)</f>
        <v>677051</v>
      </c>
      <c r="F127" s="3">
        <f>28899</f>
        <v>28899</v>
      </c>
      <c r="G127" s="3">
        <f>70171</f>
        <v>70171</v>
      </c>
      <c r="H127" s="3">
        <f>(28899+70171)</f>
        <v>99070</v>
      </c>
      <c r="I127" s="3">
        <f>((664767+12284+0)-(28899+70171))</f>
        <v>577981</v>
      </c>
    </row>
    <row r="128" spans="1:9" ht="14" x14ac:dyDescent="0.3">
      <c r="A128" s="2" t="s">
        <v>14</v>
      </c>
      <c r="B128" s="3">
        <f>245212</f>
        <v>245212</v>
      </c>
      <c r="C128" s="3">
        <f>0</f>
        <v>0</v>
      </c>
      <c r="D128" s="3">
        <f>0</f>
        <v>0</v>
      </c>
      <c r="E128" s="3">
        <f>(245212+0+0)</f>
        <v>245212</v>
      </c>
      <c r="F128" s="3">
        <f>27613</f>
        <v>27613</v>
      </c>
      <c r="G128" s="3">
        <f>153207</f>
        <v>153207</v>
      </c>
      <c r="H128" s="3">
        <f>(27613+153207)</f>
        <v>180820</v>
      </c>
      <c r="I128" s="3">
        <f>((245212+0+0)-(27613+153207))</f>
        <v>64392</v>
      </c>
    </row>
    <row r="129" spans="1:9" ht="14" x14ac:dyDescent="0.3">
      <c r="A129" s="2" t="s">
        <v>15</v>
      </c>
      <c r="B129" s="3">
        <f>4181257</f>
        <v>4181257</v>
      </c>
      <c r="C129" s="3">
        <f>55765</f>
        <v>55765</v>
      </c>
      <c r="D129" s="3">
        <f>9136</f>
        <v>9136</v>
      </c>
      <c r="E129" s="3">
        <f>(4181257+55765+9136)</f>
        <v>4246158</v>
      </c>
      <c r="F129" s="3">
        <f>116367</f>
        <v>116367</v>
      </c>
      <c r="G129" s="3">
        <f>4017215</f>
        <v>4017215</v>
      </c>
      <c r="H129" s="3">
        <f>(116367+4017215)</f>
        <v>4133582</v>
      </c>
      <c r="I129" s="3">
        <f>((4181257+55765+9136)-(116367+4017215))</f>
        <v>112576</v>
      </c>
    </row>
    <row r="130" spans="1:9" ht="14" x14ac:dyDescent="0.3">
      <c r="A130" s="2" t="s">
        <v>16</v>
      </c>
      <c r="B130" s="3">
        <f>64997</f>
        <v>64997</v>
      </c>
      <c r="C130" s="3">
        <f>0</f>
        <v>0</v>
      </c>
      <c r="D130" s="3">
        <f>0</f>
        <v>0</v>
      </c>
      <c r="E130" s="3">
        <f>(64997+0+0)</f>
        <v>64997</v>
      </c>
      <c r="F130" s="3">
        <f>5080</f>
        <v>5080</v>
      </c>
      <c r="G130" s="3">
        <f>47871</f>
        <v>47871</v>
      </c>
      <c r="H130" s="3">
        <f>(5080+47871)</f>
        <v>52951</v>
      </c>
      <c r="I130" s="3">
        <f>((64997+0+0)-(5080+47871))</f>
        <v>12046</v>
      </c>
    </row>
    <row r="131" spans="1:9" ht="14" x14ac:dyDescent="0.3">
      <c r="A131" s="2" t="s">
        <v>17</v>
      </c>
      <c r="B131" s="3">
        <f>7094</f>
        <v>7094</v>
      </c>
      <c r="C131" s="3">
        <f>8606</f>
        <v>8606</v>
      </c>
      <c r="D131" s="3">
        <f>0</f>
        <v>0</v>
      </c>
      <c r="E131" s="3">
        <f>(7094+8606+0)</f>
        <v>15700</v>
      </c>
      <c r="F131" s="3">
        <f>0</f>
        <v>0</v>
      </c>
      <c r="G131" s="3">
        <f>686</f>
        <v>686</v>
      </c>
      <c r="H131" s="3">
        <f>(0+686)</f>
        <v>686</v>
      </c>
      <c r="I131" s="3">
        <f>((7094+8606+0)-(0+686))</f>
        <v>15014</v>
      </c>
    </row>
    <row r="132" spans="1:9" ht="14" x14ac:dyDescent="0.3">
      <c r="A132" s="2" t="s">
        <v>18</v>
      </c>
      <c r="B132" s="3">
        <f>70295</f>
        <v>70295</v>
      </c>
      <c r="C132" s="3">
        <f>25205</f>
        <v>25205</v>
      </c>
      <c r="D132" s="3">
        <f>0</f>
        <v>0</v>
      </c>
      <c r="E132" s="3">
        <f>(70295+25205+0)</f>
        <v>95500</v>
      </c>
      <c r="F132" s="3">
        <f>16291</f>
        <v>16291</v>
      </c>
      <c r="G132" s="3">
        <f>63277</f>
        <v>63277</v>
      </c>
      <c r="H132" s="3">
        <f>(16291+63277)</f>
        <v>79568</v>
      </c>
      <c r="I132" s="3">
        <f>((70295+25205+0)-(16291+63277))</f>
        <v>15932</v>
      </c>
    </row>
    <row r="133" spans="1:9" ht="14" x14ac:dyDescent="0.3">
      <c r="A133" s="2" t="s">
        <v>19</v>
      </c>
      <c r="B133" s="3">
        <f>499922</f>
        <v>499922</v>
      </c>
      <c r="C133" s="3">
        <f>0</f>
        <v>0</v>
      </c>
      <c r="D133" s="3">
        <f>0</f>
        <v>0</v>
      </c>
      <c r="E133" s="3">
        <f>(499922+0+0)</f>
        <v>499922</v>
      </c>
      <c r="F133" s="3">
        <f>8364</f>
        <v>8364</v>
      </c>
      <c r="G133" s="3">
        <f>462676</f>
        <v>462676</v>
      </c>
      <c r="H133" s="3">
        <f>(8364+462676)</f>
        <v>471040</v>
      </c>
      <c r="I133" s="3">
        <f>((499922+0+0)-(8364+462676))</f>
        <v>28882</v>
      </c>
    </row>
    <row r="134" spans="1:9" ht="14" x14ac:dyDescent="0.3">
      <c r="A134" s="2" t="s">
        <v>20</v>
      </c>
      <c r="B134" s="3">
        <f>541592</f>
        <v>541592</v>
      </c>
      <c r="C134" s="3">
        <f>0</f>
        <v>0</v>
      </c>
      <c r="D134" s="3">
        <f>0</f>
        <v>0</v>
      </c>
      <c r="E134" s="3">
        <f>(541592+0+0)</f>
        <v>541592</v>
      </c>
      <c r="F134" s="3">
        <f>61257</f>
        <v>61257</v>
      </c>
      <c r="G134" s="3">
        <f>404050</f>
        <v>404050</v>
      </c>
      <c r="H134" s="3">
        <f>(61257+404050)</f>
        <v>465307</v>
      </c>
      <c r="I134" s="3">
        <f>((541592+0+0)-(61257+404050))</f>
        <v>76285</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2389456</f>
        <v>2389456</v>
      </c>
      <c r="C136" s="3">
        <f>0</f>
        <v>0</v>
      </c>
      <c r="D136" s="3">
        <f>0</f>
        <v>0</v>
      </c>
      <c r="E136" s="3">
        <f>(2389456+0+0)</f>
        <v>2389456</v>
      </c>
      <c r="F136" s="3">
        <f>0</f>
        <v>0</v>
      </c>
      <c r="G136" s="3">
        <f>2097130</f>
        <v>2097130</v>
      </c>
      <c r="H136" s="3">
        <f>(0+2097130)</f>
        <v>2097130</v>
      </c>
      <c r="I136" s="3">
        <f>((2389456+0+0)-(0+2097130))</f>
        <v>292326</v>
      </c>
    </row>
    <row r="137" spans="1:9" ht="14" x14ac:dyDescent="0.3">
      <c r="A137" s="2" t="s">
        <v>23</v>
      </c>
      <c r="B137" s="3">
        <f>247126</f>
        <v>247126</v>
      </c>
      <c r="C137" s="3">
        <f>25964</f>
        <v>25964</v>
      </c>
      <c r="D137" s="3">
        <f>0</f>
        <v>0</v>
      </c>
      <c r="E137" s="3">
        <f>(247126+25964+0)</f>
        <v>273090</v>
      </c>
      <c r="F137" s="3">
        <f>0</f>
        <v>0</v>
      </c>
      <c r="G137" s="3">
        <f>4504</f>
        <v>4504</v>
      </c>
      <c r="H137" s="3">
        <f>(0+4504)</f>
        <v>4504</v>
      </c>
      <c r="I137" s="3">
        <f>((247126+25964+0)-(0+4504))</f>
        <v>268586</v>
      </c>
    </row>
    <row r="138" spans="1:9" ht="14" x14ac:dyDescent="0.3">
      <c r="A138" s="2" t="s">
        <v>24</v>
      </c>
      <c r="B138" s="3">
        <f>258569</f>
        <v>258569</v>
      </c>
      <c r="C138" s="3">
        <f>0</f>
        <v>0</v>
      </c>
      <c r="D138" s="3">
        <f>0</f>
        <v>0</v>
      </c>
      <c r="E138" s="3">
        <f>(258569+0+0)</f>
        <v>258569</v>
      </c>
      <c r="F138" s="3">
        <f>4481</f>
        <v>4481</v>
      </c>
      <c r="G138" s="3">
        <f>241808</f>
        <v>241808</v>
      </c>
      <c r="H138" s="3">
        <f>(4481+241808)</f>
        <v>246289</v>
      </c>
      <c r="I138" s="3">
        <f>((258569+0+0)-(4481+241808))</f>
        <v>12280</v>
      </c>
    </row>
    <row r="139" spans="1:9" ht="14" x14ac:dyDescent="0.3">
      <c r="A139" s="2" t="s">
        <v>25</v>
      </c>
      <c r="B139" s="3">
        <f>0</f>
        <v>0</v>
      </c>
      <c r="C139" s="3">
        <f>0</f>
        <v>0</v>
      </c>
      <c r="D139" s="3">
        <f>0</f>
        <v>0</v>
      </c>
      <c r="E139" s="3">
        <f>(0+0+0)</f>
        <v>0</v>
      </c>
      <c r="F139" s="3">
        <f>0</f>
        <v>0</v>
      </c>
      <c r="G139" s="3">
        <f>0</f>
        <v>0</v>
      </c>
      <c r="H139" s="3">
        <f>(0+0)</f>
        <v>0</v>
      </c>
      <c r="I139" s="3">
        <f>((0+0+0)-(0+0))</f>
        <v>0</v>
      </c>
    </row>
    <row r="140" spans="1:9" ht="14" x14ac:dyDescent="0.3">
      <c r="A140" s="2" t="s">
        <v>26</v>
      </c>
      <c r="B140" s="3">
        <f>488486</f>
        <v>488486</v>
      </c>
      <c r="C140" s="3">
        <f>19455</f>
        <v>19455</v>
      </c>
      <c r="D140" s="3">
        <f>0</f>
        <v>0</v>
      </c>
      <c r="E140" s="3">
        <f>(488486+19455+0)</f>
        <v>507941</v>
      </c>
      <c r="F140" s="3">
        <f>0</f>
        <v>0</v>
      </c>
      <c r="G140" s="3">
        <f>356185</f>
        <v>356185</v>
      </c>
      <c r="H140" s="3">
        <f>(0+356185)</f>
        <v>356185</v>
      </c>
      <c r="I140" s="3">
        <f>((488486+19455+0)-(0+356185))</f>
        <v>151756</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3080778</f>
        <v>3080778</v>
      </c>
      <c r="C144" s="3">
        <f>0</f>
        <v>0</v>
      </c>
      <c r="D144" s="3">
        <f>0</f>
        <v>0</v>
      </c>
      <c r="E144" s="3">
        <f>(3080778+0+0)</f>
        <v>3080778</v>
      </c>
      <c r="F144" s="3">
        <f>0</f>
        <v>0</v>
      </c>
      <c r="G144" s="3">
        <f>943733</f>
        <v>943733</v>
      </c>
      <c r="H144" s="3">
        <f>(0+943733)</f>
        <v>943733</v>
      </c>
      <c r="I144" s="3">
        <f>((3080778+0+0)-(0+943733))</f>
        <v>2137045</v>
      </c>
    </row>
    <row r="145" spans="1:9" ht="14" x14ac:dyDescent="0.3">
      <c r="A145" s="2" t="s">
        <v>11</v>
      </c>
      <c r="B145" s="3">
        <f>454631</f>
        <v>454631</v>
      </c>
      <c r="C145" s="3">
        <f>0</f>
        <v>0</v>
      </c>
      <c r="D145" s="3">
        <f>0</f>
        <v>0</v>
      </c>
      <c r="E145" s="3">
        <f>(454631+0+0)</f>
        <v>454631</v>
      </c>
      <c r="F145" s="3">
        <f>0</f>
        <v>0</v>
      </c>
      <c r="G145" s="3">
        <f>76477</f>
        <v>76477</v>
      </c>
      <c r="H145" s="3">
        <f>(0+76477)</f>
        <v>76477</v>
      </c>
      <c r="I145" s="3">
        <f>((454631+0+0)-(0+76477))</f>
        <v>378154</v>
      </c>
    </row>
    <row r="146" spans="1:9" ht="14" x14ac:dyDescent="0.3">
      <c r="A146" s="2" t="s">
        <v>12</v>
      </c>
      <c r="B146" s="3">
        <f>969000</f>
        <v>969000</v>
      </c>
      <c r="C146" s="3">
        <f>0</f>
        <v>0</v>
      </c>
      <c r="D146" s="3">
        <f>0</f>
        <v>0</v>
      </c>
      <c r="E146" s="3">
        <f>(969000+0+0)</f>
        <v>969000</v>
      </c>
      <c r="F146" s="3">
        <f>0</f>
        <v>0</v>
      </c>
      <c r="G146" s="3">
        <f>550000</f>
        <v>550000</v>
      </c>
      <c r="H146" s="3">
        <f>(0+550000)</f>
        <v>550000</v>
      </c>
      <c r="I146" s="3">
        <f>((969000+0+0)-(0+550000))</f>
        <v>419000</v>
      </c>
    </row>
    <row r="147" spans="1:9" ht="14" x14ac:dyDescent="0.3">
      <c r="A147" s="2" t="s">
        <v>13</v>
      </c>
      <c r="B147" s="3">
        <f>561973</f>
        <v>561973</v>
      </c>
      <c r="C147" s="3">
        <f>217914</f>
        <v>217914</v>
      </c>
      <c r="D147" s="3">
        <f>0</f>
        <v>0</v>
      </c>
      <c r="E147" s="3">
        <f>(561973+217914+0)</f>
        <v>779887</v>
      </c>
      <c r="F147" s="3">
        <f>0</f>
        <v>0</v>
      </c>
      <c r="G147" s="3">
        <f>0</f>
        <v>0</v>
      </c>
      <c r="H147" s="3">
        <f>(0+0)</f>
        <v>0</v>
      </c>
      <c r="I147" s="3">
        <f>((561973+217914+0)-(0+0))</f>
        <v>779887</v>
      </c>
    </row>
    <row r="148" spans="1:9" ht="14" x14ac:dyDescent="0.3">
      <c r="A148" s="2" t="s">
        <v>14</v>
      </c>
      <c r="B148" s="3">
        <f>46739047</f>
        <v>46739047</v>
      </c>
      <c r="C148" s="3">
        <f>0</f>
        <v>0</v>
      </c>
      <c r="D148" s="3">
        <f>0</f>
        <v>0</v>
      </c>
      <c r="E148" s="3">
        <f>(46739047+0+0)</f>
        <v>46739047</v>
      </c>
      <c r="F148" s="3">
        <f>0</f>
        <v>0</v>
      </c>
      <c r="G148" s="3">
        <f>9105520</f>
        <v>9105520</v>
      </c>
      <c r="H148" s="3">
        <f>(0+9105520)</f>
        <v>9105520</v>
      </c>
      <c r="I148" s="3">
        <f>((46739047+0+0)-(0+9105520))</f>
        <v>37633527</v>
      </c>
    </row>
    <row r="149" spans="1:9" ht="14" x14ac:dyDescent="0.3">
      <c r="A149" s="2" t="s">
        <v>15</v>
      </c>
      <c r="B149" s="3">
        <f>2792835</f>
        <v>2792835</v>
      </c>
      <c r="C149" s="3">
        <f>0</f>
        <v>0</v>
      </c>
      <c r="D149" s="3">
        <f>0</f>
        <v>0</v>
      </c>
      <c r="E149" s="3">
        <f>(2792835+0+0)</f>
        <v>2792835</v>
      </c>
      <c r="F149" s="3">
        <f>0</f>
        <v>0</v>
      </c>
      <c r="G149" s="3">
        <f>645622</f>
        <v>645622</v>
      </c>
      <c r="H149" s="3">
        <f>(0+645622)</f>
        <v>645622</v>
      </c>
      <c r="I149" s="3">
        <f>((2792835+0+0)-(0+645622))</f>
        <v>2147213</v>
      </c>
    </row>
    <row r="150" spans="1:9" ht="14" x14ac:dyDescent="0.3">
      <c r="A150" s="2" t="s">
        <v>16</v>
      </c>
      <c r="B150" s="3">
        <f>2075527</f>
        <v>2075527</v>
      </c>
      <c r="C150" s="3">
        <f>0</f>
        <v>0</v>
      </c>
      <c r="D150" s="3">
        <f>0</f>
        <v>0</v>
      </c>
      <c r="E150" s="3">
        <f>(2075527+0+0)</f>
        <v>2075527</v>
      </c>
      <c r="F150" s="3">
        <f>116824</f>
        <v>116824</v>
      </c>
      <c r="G150" s="3">
        <f>372387</f>
        <v>372387</v>
      </c>
      <c r="H150" s="3">
        <f>(116824+372387)</f>
        <v>489211</v>
      </c>
      <c r="I150" s="3">
        <f>((2075527+0+0)-(116824+372387))</f>
        <v>1586316</v>
      </c>
    </row>
    <row r="151" spans="1:9" ht="14" x14ac:dyDescent="0.3">
      <c r="A151" s="2" t="s">
        <v>17</v>
      </c>
      <c r="B151" s="3">
        <f>0</f>
        <v>0</v>
      </c>
      <c r="C151" s="3">
        <f>0</f>
        <v>0</v>
      </c>
      <c r="D151" s="3">
        <f>0</f>
        <v>0</v>
      </c>
      <c r="E151" s="3">
        <f>(0+0+0)</f>
        <v>0</v>
      </c>
      <c r="F151" s="3">
        <f>0</f>
        <v>0</v>
      </c>
      <c r="G151" s="3">
        <f>0</f>
        <v>0</v>
      </c>
      <c r="H151" s="3">
        <f>(0+0)</f>
        <v>0</v>
      </c>
      <c r="I151" s="3">
        <f>((0+0+0)-(0+0))</f>
        <v>0</v>
      </c>
    </row>
    <row r="152" spans="1:9" ht="14" x14ac:dyDescent="0.3">
      <c r="A152" s="2" t="s">
        <v>18</v>
      </c>
      <c r="B152" s="3">
        <f>360424</f>
        <v>360424</v>
      </c>
      <c r="C152" s="3">
        <f>0</f>
        <v>0</v>
      </c>
      <c r="D152" s="3">
        <f>0</f>
        <v>0</v>
      </c>
      <c r="E152" s="3">
        <f>(360424+0+0)</f>
        <v>360424</v>
      </c>
      <c r="F152" s="3">
        <f>0</f>
        <v>0</v>
      </c>
      <c r="G152" s="3">
        <f>0</f>
        <v>0</v>
      </c>
      <c r="H152" s="3">
        <f>(0+0)</f>
        <v>0</v>
      </c>
      <c r="I152" s="3">
        <f>((360424+0+0)-(0+0))</f>
        <v>360424</v>
      </c>
    </row>
    <row r="153" spans="1:9" ht="14" x14ac:dyDescent="0.3">
      <c r="A153" s="2" t="s">
        <v>19</v>
      </c>
      <c r="B153" s="3">
        <f>694614</f>
        <v>694614</v>
      </c>
      <c r="C153" s="3">
        <f>0</f>
        <v>0</v>
      </c>
      <c r="D153" s="3">
        <f>0</f>
        <v>0</v>
      </c>
      <c r="E153" s="3">
        <f>(694614+0+0)</f>
        <v>694614</v>
      </c>
      <c r="F153" s="3">
        <f>0</f>
        <v>0</v>
      </c>
      <c r="G153" s="3">
        <f>401140</f>
        <v>401140</v>
      </c>
      <c r="H153" s="3">
        <f>(0+401140)</f>
        <v>401140</v>
      </c>
      <c r="I153" s="3">
        <f>((694614+0+0)-(0+401140))</f>
        <v>293474</v>
      </c>
    </row>
    <row r="154" spans="1:9" ht="14" x14ac:dyDescent="0.3">
      <c r="A154" s="2" t="s">
        <v>20</v>
      </c>
      <c r="B154" s="3">
        <f>628729</f>
        <v>628729</v>
      </c>
      <c r="C154" s="3">
        <f>0</f>
        <v>0</v>
      </c>
      <c r="D154" s="3">
        <f>0</f>
        <v>0</v>
      </c>
      <c r="E154" s="3">
        <f>(628729+0+0)</f>
        <v>628729</v>
      </c>
      <c r="F154" s="3">
        <f>0</f>
        <v>0</v>
      </c>
      <c r="G154" s="3">
        <f>439923</f>
        <v>439923</v>
      </c>
      <c r="H154" s="3">
        <f>(0+439923)</f>
        <v>439923</v>
      </c>
      <c r="I154" s="3">
        <f>((628729+0+0)-(0+439923))</f>
        <v>188806</v>
      </c>
    </row>
    <row r="155" spans="1:9" ht="14" x14ac:dyDescent="0.3">
      <c r="A155" s="2" t="s">
        <v>21</v>
      </c>
      <c r="B155" s="3">
        <f>691843</f>
        <v>691843</v>
      </c>
      <c r="C155" s="3">
        <f>0</f>
        <v>0</v>
      </c>
      <c r="D155" s="3">
        <f>0</f>
        <v>0</v>
      </c>
      <c r="E155" s="3">
        <f>(691843+0+0)</f>
        <v>691843</v>
      </c>
      <c r="F155" s="3">
        <f>0</f>
        <v>0</v>
      </c>
      <c r="G155" s="3">
        <f>0</f>
        <v>0</v>
      </c>
      <c r="H155" s="3">
        <f>(0+0)</f>
        <v>0</v>
      </c>
      <c r="I155" s="3">
        <f>((691843+0+0)-(0+0))</f>
        <v>691843</v>
      </c>
    </row>
    <row r="156" spans="1:9" ht="14" x14ac:dyDescent="0.3">
      <c r="A156" s="2" t="s">
        <v>22</v>
      </c>
      <c r="B156" s="3">
        <f>2087104</f>
        <v>2087104</v>
      </c>
      <c r="C156" s="3">
        <f>0</f>
        <v>0</v>
      </c>
      <c r="D156" s="3">
        <f>0</f>
        <v>0</v>
      </c>
      <c r="E156" s="3">
        <f>(2087104+0+0)</f>
        <v>2087104</v>
      </c>
      <c r="F156" s="3">
        <f>0</f>
        <v>0</v>
      </c>
      <c r="G156" s="3">
        <f>1259162</f>
        <v>1259162</v>
      </c>
      <c r="H156" s="3">
        <f>(0+1259162)</f>
        <v>1259162</v>
      </c>
      <c r="I156" s="3">
        <f>((2087104+0+0)-(0+1259162))</f>
        <v>827942</v>
      </c>
    </row>
    <row r="157" spans="1:9" ht="14" x14ac:dyDescent="0.3">
      <c r="A157" s="2" t="s">
        <v>23</v>
      </c>
      <c r="B157" s="3">
        <f>902347</f>
        <v>902347</v>
      </c>
      <c r="C157" s="3">
        <f>0</f>
        <v>0</v>
      </c>
      <c r="D157" s="3">
        <f>0</f>
        <v>0</v>
      </c>
      <c r="E157" s="3">
        <f>(902347+0+0)</f>
        <v>902347</v>
      </c>
      <c r="F157" s="3">
        <f>0</f>
        <v>0</v>
      </c>
      <c r="G157" s="3">
        <f>99604</f>
        <v>99604</v>
      </c>
      <c r="H157" s="3">
        <f>(0+99604)</f>
        <v>99604</v>
      </c>
      <c r="I157" s="3">
        <f>((902347+0+0)-(0+99604))</f>
        <v>802743</v>
      </c>
    </row>
    <row r="158" spans="1:9" ht="14" x14ac:dyDescent="0.3">
      <c r="A158" s="2" t="s">
        <v>24</v>
      </c>
      <c r="B158" s="3">
        <f>509954</f>
        <v>509954</v>
      </c>
      <c r="C158" s="3">
        <f>0</f>
        <v>0</v>
      </c>
      <c r="D158" s="3">
        <f>0</f>
        <v>0</v>
      </c>
      <c r="E158" s="3">
        <f>(509954+0+0)</f>
        <v>509954</v>
      </c>
      <c r="F158" s="3">
        <f>0</f>
        <v>0</v>
      </c>
      <c r="G158" s="3">
        <f>304377</f>
        <v>304377</v>
      </c>
      <c r="H158" s="3">
        <f>(0+304377)</f>
        <v>304377</v>
      </c>
      <c r="I158" s="3">
        <f>((509954+0+0)-(0+304377))</f>
        <v>205577</v>
      </c>
    </row>
    <row r="159" spans="1:9" ht="14" x14ac:dyDescent="0.3">
      <c r="A159" s="2" t="s">
        <v>25</v>
      </c>
      <c r="B159" s="3">
        <f>0</f>
        <v>0</v>
      </c>
      <c r="C159" s="3">
        <f>0</f>
        <v>0</v>
      </c>
      <c r="D159" s="3">
        <f>0</f>
        <v>0</v>
      </c>
      <c r="E159" s="3">
        <f>(0+0+0)</f>
        <v>0</v>
      </c>
      <c r="F159" s="3">
        <f>0</f>
        <v>0</v>
      </c>
      <c r="G159" s="3">
        <f>0</f>
        <v>0</v>
      </c>
      <c r="H159" s="3">
        <f>(0+0)</f>
        <v>0</v>
      </c>
      <c r="I159" s="3">
        <f>((0+0+0)-(0+0))</f>
        <v>0</v>
      </c>
    </row>
    <row r="160" spans="1:9" ht="14" x14ac:dyDescent="0.3">
      <c r="A160" s="2" t="s">
        <v>26</v>
      </c>
      <c r="B160" s="3">
        <f>1333328</f>
        <v>1333328</v>
      </c>
      <c r="C160" s="3">
        <f>0</f>
        <v>0</v>
      </c>
      <c r="D160" s="3">
        <f>0</f>
        <v>0</v>
      </c>
      <c r="E160" s="3">
        <f>(1333328+0+0)</f>
        <v>1333328</v>
      </c>
      <c r="F160" s="3">
        <f>0</f>
        <v>0</v>
      </c>
      <c r="G160" s="3">
        <f>27843</f>
        <v>27843</v>
      </c>
      <c r="H160" s="3">
        <f>(0+27843)</f>
        <v>27843</v>
      </c>
      <c r="I160" s="3">
        <f>((1333328+0+0)-(0+27843))</f>
        <v>1305485</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6697091</f>
        <v>6697091</v>
      </c>
      <c r="C164" s="3">
        <f>0</f>
        <v>0</v>
      </c>
      <c r="D164" s="3">
        <f>0</f>
        <v>0</v>
      </c>
      <c r="E164" s="3">
        <f>(6697091+0+0)</f>
        <v>6697091</v>
      </c>
      <c r="F164" s="3">
        <f>29424</f>
        <v>29424</v>
      </c>
      <c r="G164" s="3">
        <f>6336560</f>
        <v>6336560</v>
      </c>
      <c r="H164" s="3">
        <f>(29424+6336560)</f>
        <v>6365984</v>
      </c>
      <c r="I164" s="3">
        <f>((6697091+0+0)-(29424+6336560))</f>
        <v>331107</v>
      </c>
    </row>
    <row r="165" spans="1:9" ht="14" x14ac:dyDescent="0.3">
      <c r="A165" s="2" t="s">
        <v>11</v>
      </c>
      <c r="B165" s="3">
        <f>254611</f>
        <v>254611</v>
      </c>
      <c r="C165" s="3">
        <f>0</f>
        <v>0</v>
      </c>
      <c r="D165" s="3">
        <f>0</f>
        <v>0</v>
      </c>
      <c r="E165" s="3">
        <f>(254611+0+0)</f>
        <v>254611</v>
      </c>
      <c r="F165" s="3">
        <f>0</f>
        <v>0</v>
      </c>
      <c r="G165" s="3">
        <f>5058</f>
        <v>5058</v>
      </c>
      <c r="H165" s="3">
        <f>(0+5058)</f>
        <v>5058</v>
      </c>
      <c r="I165" s="3">
        <f>((254611+0+0)-(0+5058))</f>
        <v>249553</v>
      </c>
    </row>
    <row r="166" spans="1:9" ht="14" x14ac:dyDescent="0.3">
      <c r="A166" s="2" t="s">
        <v>12</v>
      </c>
      <c r="B166" s="3">
        <f>1167117</f>
        <v>1167117</v>
      </c>
      <c r="C166" s="3">
        <f>0</f>
        <v>0</v>
      </c>
      <c r="D166" s="3">
        <f>0</f>
        <v>0</v>
      </c>
      <c r="E166" s="3">
        <f>(1167117+0+0)</f>
        <v>1167117</v>
      </c>
      <c r="F166" s="3">
        <f>0</f>
        <v>0</v>
      </c>
      <c r="G166" s="3">
        <f>846466</f>
        <v>846466</v>
      </c>
      <c r="H166" s="3">
        <f>(0+846466)</f>
        <v>846466</v>
      </c>
      <c r="I166" s="3">
        <f>((1167117+0+0)-(0+846466))</f>
        <v>320651</v>
      </c>
    </row>
    <row r="167" spans="1:9" ht="14" x14ac:dyDescent="0.3">
      <c r="A167" s="2" t="s">
        <v>13</v>
      </c>
      <c r="B167" s="3">
        <f>264765</f>
        <v>264765</v>
      </c>
      <c r="C167" s="3">
        <f>0</f>
        <v>0</v>
      </c>
      <c r="D167" s="3">
        <f>0</f>
        <v>0</v>
      </c>
      <c r="E167" s="3">
        <f>(264765+0+0)</f>
        <v>264765</v>
      </c>
      <c r="F167" s="3">
        <f>423</f>
        <v>423</v>
      </c>
      <c r="G167" s="3">
        <f>23518</f>
        <v>23518</v>
      </c>
      <c r="H167" s="3">
        <f>(423+23518)</f>
        <v>23941</v>
      </c>
      <c r="I167" s="3">
        <f>((264765+0+0)-(423+23518))</f>
        <v>240824</v>
      </c>
    </row>
    <row r="168" spans="1:9" ht="14" x14ac:dyDescent="0.3">
      <c r="A168" s="2" t="s">
        <v>14</v>
      </c>
      <c r="B168" s="3">
        <f>16044</f>
        <v>16044</v>
      </c>
      <c r="C168" s="3">
        <f>0</f>
        <v>0</v>
      </c>
      <c r="D168" s="3">
        <f>0</f>
        <v>0</v>
      </c>
      <c r="E168" s="3">
        <f>(16044+0+0)</f>
        <v>16044</v>
      </c>
      <c r="F168" s="3">
        <f>1177</f>
        <v>1177</v>
      </c>
      <c r="G168" s="3">
        <f>8567</f>
        <v>8567</v>
      </c>
      <c r="H168" s="3">
        <f>(1177+8567)</f>
        <v>9744</v>
      </c>
      <c r="I168" s="3">
        <f>((16044+0+0)-(1177+8567))</f>
        <v>6300</v>
      </c>
    </row>
    <row r="169" spans="1:9" ht="14" x14ac:dyDescent="0.3">
      <c r="A169" s="2" t="s">
        <v>15</v>
      </c>
      <c r="B169" s="3">
        <f>484440</f>
        <v>484440</v>
      </c>
      <c r="C169" s="3">
        <f>0</f>
        <v>0</v>
      </c>
      <c r="D169" s="3">
        <f>0</f>
        <v>0</v>
      </c>
      <c r="E169" s="3">
        <f>(484440+0+0)</f>
        <v>484440</v>
      </c>
      <c r="F169" s="3">
        <f>0</f>
        <v>0</v>
      </c>
      <c r="G169" s="3">
        <f>337684</f>
        <v>337684</v>
      </c>
      <c r="H169" s="3">
        <f>(0+337684)</f>
        <v>337684</v>
      </c>
      <c r="I169" s="3">
        <f>((484440+0+0)-(0+337684))</f>
        <v>146756</v>
      </c>
    </row>
    <row r="170" spans="1:9" ht="14" x14ac:dyDescent="0.3">
      <c r="A170" s="2" t="s">
        <v>16</v>
      </c>
      <c r="B170" s="3">
        <f>92079</f>
        <v>92079</v>
      </c>
      <c r="C170" s="3">
        <f>0</f>
        <v>0</v>
      </c>
      <c r="D170" s="3">
        <f>0</f>
        <v>0</v>
      </c>
      <c r="E170" s="3">
        <f>(92079+0+0)</f>
        <v>92079</v>
      </c>
      <c r="F170" s="3">
        <f>537</f>
        <v>537</v>
      </c>
      <c r="G170" s="3">
        <f>79531</f>
        <v>79531</v>
      </c>
      <c r="H170" s="3">
        <f>(537+79531)</f>
        <v>80068</v>
      </c>
      <c r="I170" s="3">
        <f>((92079+0+0)-(537+79531))</f>
        <v>12011</v>
      </c>
    </row>
    <row r="171" spans="1:9" ht="14" x14ac:dyDescent="0.3">
      <c r="A171" s="2" t="s">
        <v>17</v>
      </c>
      <c r="B171" s="3">
        <f>13991</f>
        <v>13991</v>
      </c>
      <c r="C171" s="3">
        <f>0</f>
        <v>0</v>
      </c>
      <c r="D171" s="3">
        <f>0</f>
        <v>0</v>
      </c>
      <c r="E171" s="3">
        <f>(13991+0+0)</f>
        <v>13991</v>
      </c>
      <c r="F171" s="3">
        <f>0</f>
        <v>0</v>
      </c>
      <c r="G171" s="3">
        <f>3204</f>
        <v>3204</v>
      </c>
      <c r="H171" s="3">
        <f>(0+3204)</f>
        <v>3204</v>
      </c>
      <c r="I171" s="3">
        <f>((13991+0+0)-(0+3204))</f>
        <v>10787</v>
      </c>
    </row>
    <row r="172" spans="1:9" ht="14" x14ac:dyDescent="0.3">
      <c r="A172" s="2" t="s">
        <v>18</v>
      </c>
      <c r="B172" s="3">
        <f>8295</f>
        <v>8295</v>
      </c>
      <c r="C172" s="3">
        <f>0</f>
        <v>0</v>
      </c>
      <c r="D172" s="3">
        <f>0</f>
        <v>0</v>
      </c>
      <c r="E172" s="3">
        <f>(8295+0+0)</f>
        <v>8295</v>
      </c>
      <c r="F172" s="3">
        <f>0</f>
        <v>0</v>
      </c>
      <c r="G172" s="3">
        <f>6085</f>
        <v>6085</v>
      </c>
      <c r="H172" s="3">
        <f>(0+6085)</f>
        <v>6085</v>
      </c>
      <c r="I172" s="3">
        <f>((8295+0+0)-(0+6085))</f>
        <v>2210</v>
      </c>
    </row>
    <row r="173" spans="1:9" ht="14" x14ac:dyDescent="0.3">
      <c r="A173" s="2" t="s">
        <v>19</v>
      </c>
      <c r="B173" s="3">
        <f>99847</f>
        <v>99847</v>
      </c>
      <c r="C173" s="3">
        <f>0</f>
        <v>0</v>
      </c>
      <c r="D173" s="3">
        <f>0</f>
        <v>0</v>
      </c>
      <c r="E173" s="3">
        <f>(99847+0+0)</f>
        <v>99847</v>
      </c>
      <c r="F173" s="3">
        <f>2458</f>
        <v>2458</v>
      </c>
      <c r="G173" s="3">
        <f>85127</f>
        <v>85127</v>
      </c>
      <c r="H173" s="3">
        <f>(2458+85127)</f>
        <v>87585</v>
      </c>
      <c r="I173" s="3">
        <f>((99847+0+0)-(2458+85127))</f>
        <v>12262</v>
      </c>
    </row>
    <row r="174" spans="1:9" ht="14" x14ac:dyDescent="0.3">
      <c r="A174" s="2" t="s">
        <v>20</v>
      </c>
      <c r="B174" s="3">
        <f>170149</f>
        <v>170149</v>
      </c>
      <c r="C174" s="3">
        <f>0</f>
        <v>0</v>
      </c>
      <c r="D174" s="3">
        <f>0</f>
        <v>0</v>
      </c>
      <c r="E174" s="3">
        <f>(170149+0+0)</f>
        <v>170149</v>
      </c>
      <c r="F174" s="3">
        <f>2094</f>
        <v>2094</v>
      </c>
      <c r="G174" s="3">
        <f>148078</f>
        <v>148078</v>
      </c>
      <c r="H174" s="3">
        <f>(2094+148078)</f>
        <v>150172</v>
      </c>
      <c r="I174" s="3">
        <f>((170149+0+0)-(2094+148078))</f>
        <v>19977</v>
      </c>
    </row>
    <row r="175" spans="1:9" ht="14" x14ac:dyDescent="0.3">
      <c r="A175" s="2" t="s">
        <v>21</v>
      </c>
      <c r="B175" s="3">
        <f>0</f>
        <v>0</v>
      </c>
      <c r="C175" s="3">
        <f>0</f>
        <v>0</v>
      </c>
      <c r="D175" s="3">
        <f>0</f>
        <v>0</v>
      </c>
      <c r="E175" s="3">
        <f>(0+0+0)</f>
        <v>0</v>
      </c>
      <c r="F175" s="3">
        <f>0</f>
        <v>0</v>
      </c>
      <c r="G175" s="3">
        <f>0</f>
        <v>0</v>
      </c>
      <c r="H175" s="3">
        <f>(0+0)</f>
        <v>0</v>
      </c>
      <c r="I175" s="3">
        <f>((0+0+0)-(0+0))</f>
        <v>0</v>
      </c>
    </row>
    <row r="176" spans="1:9" ht="14" x14ac:dyDescent="0.3">
      <c r="A176" s="2" t="s">
        <v>22</v>
      </c>
      <c r="B176" s="3">
        <f>1576264</f>
        <v>1576264</v>
      </c>
      <c r="C176" s="3">
        <f>0</f>
        <v>0</v>
      </c>
      <c r="D176" s="3">
        <f>0</f>
        <v>0</v>
      </c>
      <c r="E176" s="3">
        <f>(1576264+0+0)</f>
        <v>1576264</v>
      </c>
      <c r="F176" s="3">
        <f>0</f>
        <v>0</v>
      </c>
      <c r="G176" s="3">
        <f>831792</f>
        <v>831792</v>
      </c>
      <c r="H176" s="3">
        <f>(0+831792)</f>
        <v>831792</v>
      </c>
      <c r="I176" s="3">
        <f>((1576264+0+0)-(0+831792))</f>
        <v>744472</v>
      </c>
    </row>
    <row r="177" spans="1:9" ht="14" x14ac:dyDescent="0.3">
      <c r="A177" s="2" t="s">
        <v>23</v>
      </c>
      <c r="B177" s="3">
        <f>33593</f>
        <v>33593</v>
      </c>
      <c r="C177" s="3">
        <f>0</f>
        <v>0</v>
      </c>
      <c r="D177" s="3">
        <f>0</f>
        <v>0</v>
      </c>
      <c r="E177" s="3">
        <f>(33593+0+0)</f>
        <v>33593</v>
      </c>
      <c r="F177" s="3">
        <f>0</f>
        <v>0</v>
      </c>
      <c r="G177" s="3">
        <f>20228</f>
        <v>20228</v>
      </c>
      <c r="H177" s="3">
        <f>(0+20228)</f>
        <v>20228</v>
      </c>
      <c r="I177" s="3">
        <f>((33593+0+0)-(0+20228))</f>
        <v>13365</v>
      </c>
    </row>
    <row r="178" spans="1:9" ht="14" x14ac:dyDescent="0.3">
      <c r="A178" s="2" t="s">
        <v>24</v>
      </c>
      <c r="B178" s="3">
        <f>74806</f>
        <v>74806</v>
      </c>
      <c r="C178" s="3">
        <f>0</f>
        <v>0</v>
      </c>
      <c r="D178" s="3">
        <f>0</f>
        <v>0</v>
      </c>
      <c r="E178" s="3">
        <f>(74806+0+0)</f>
        <v>74806</v>
      </c>
      <c r="F178" s="3">
        <f>0</f>
        <v>0</v>
      </c>
      <c r="G178" s="3">
        <f>70504</f>
        <v>70504</v>
      </c>
      <c r="H178" s="3">
        <f>(0+70504)</f>
        <v>70504</v>
      </c>
      <c r="I178" s="3">
        <f>((74806+0+0)-(0+70504))</f>
        <v>4302</v>
      </c>
    </row>
    <row r="179" spans="1:9" ht="14" x14ac:dyDescent="0.3">
      <c r="A179" s="2" t="s">
        <v>25</v>
      </c>
      <c r="B179" s="3">
        <f>0</f>
        <v>0</v>
      </c>
      <c r="C179" s="3">
        <f>0</f>
        <v>0</v>
      </c>
      <c r="D179" s="3">
        <f>0</f>
        <v>0</v>
      </c>
      <c r="E179" s="3">
        <f>(0+0+0)</f>
        <v>0</v>
      </c>
      <c r="F179" s="3">
        <f>0</f>
        <v>0</v>
      </c>
      <c r="G179" s="3">
        <f>0</f>
        <v>0</v>
      </c>
      <c r="H179" s="3">
        <f>(0+0)</f>
        <v>0</v>
      </c>
      <c r="I179" s="3">
        <f>((0+0+0)-(0+0))</f>
        <v>0</v>
      </c>
    </row>
    <row r="180" spans="1:9" ht="14" x14ac:dyDescent="0.3">
      <c r="A180" s="2" t="s">
        <v>26</v>
      </c>
      <c r="B180" s="3">
        <f>317152</f>
        <v>317152</v>
      </c>
      <c r="C180" s="3">
        <f>5379</f>
        <v>5379</v>
      </c>
      <c r="D180" s="3">
        <f>0</f>
        <v>0</v>
      </c>
      <c r="E180" s="3">
        <f>(317152+5379+0)</f>
        <v>322531</v>
      </c>
      <c r="F180" s="3">
        <f>0</f>
        <v>0</v>
      </c>
      <c r="G180" s="3">
        <f>16822</f>
        <v>16822</v>
      </c>
      <c r="H180" s="3">
        <f>(0+16822)</f>
        <v>16822</v>
      </c>
      <c r="I180" s="3">
        <f>((317152+5379+0)-(0+16822))</f>
        <v>305709</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((99041+4668758+(2051804+2160910)+502119+546741+6697091)+3080778)</f>
        <v>19807242</v>
      </c>
      <c r="C184" s="3">
        <f t="shared" ref="C184:D186" si="2">((0+0+(0+0)+0+0+0)+0)</f>
        <v>0</v>
      </c>
      <c r="D184" s="3">
        <f t="shared" si="2"/>
        <v>0</v>
      </c>
      <c r="E184" s="3">
        <f>(((99041+4668758+(2051804+2160910)+502119+546741+6697091)+3080778)+((0+0+(0+0)+0+0+0)+0)+((0+0+(0+0)+0+0+0)+0))</f>
        <v>19807242</v>
      </c>
      <c r="F184" s="3">
        <f>((0+359423+(0+0)+222+16715+29424)+0)</f>
        <v>405784</v>
      </c>
      <c r="G184" s="3">
        <f>((57689+3970497+(354683+327671)+296884+313289+6336560)+943733)</f>
        <v>12601006</v>
      </c>
      <c r="H184" s="3">
        <f>(((0+359423+(0+0)+222+16715+29424)+0)+((57689+3970497+(354683+327671)+296884+313289+6336560)+943733))</f>
        <v>13006790</v>
      </c>
      <c r="I184" s="3">
        <f>((((99041+4668758+(2051804+2160910)+502119+546741+6697091)+3080778)+((0+0+(0+0)+0+0+0)+0)+((0+0+(0+0)+0+0+0)+0))-(((0+359423+(0+0)+222+16715+29424)+0)+((57689+3970497+(354683+327671)+296884+313289+6336560)+943733)))</f>
        <v>6800452</v>
      </c>
    </row>
    <row r="185" spans="1:9" ht="14" x14ac:dyDescent="0.3">
      <c r="A185" s="2" t="s">
        <v>11</v>
      </c>
      <c r="B185" s="3">
        <f>((0+0+(0+0)+0+0+254611)+454631)</f>
        <v>709242</v>
      </c>
      <c r="C185" s="3">
        <f t="shared" si="2"/>
        <v>0</v>
      </c>
      <c r="D185" s="3">
        <f t="shared" si="2"/>
        <v>0</v>
      </c>
      <c r="E185" s="3">
        <f>(((0+0+(0+0)+0+0+254611)+454631)+((0+0+(0+0)+0+0+0)+0)+((0+0+(0+0)+0+0+0)+0))</f>
        <v>709242</v>
      </c>
      <c r="F185" s="3">
        <f>((0+0+(0+0)+0+0+0)+0)</f>
        <v>0</v>
      </c>
      <c r="G185" s="3">
        <f>((0+0+(0+0)+0+0+5058)+76477)</f>
        <v>81535</v>
      </c>
      <c r="H185" s="3">
        <f>(((0+0+(0+0)+0+0+0)+0)+((0+0+(0+0)+0+0+5058)+76477))</f>
        <v>81535</v>
      </c>
      <c r="I185" s="3">
        <f>((((0+0+(0+0)+0+0+254611)+454631)+((0+0+(0+0)+0+0+0)+0)+((0+0+(0+0)+0+0+0)+0))-(((0+0+(0+0)+0+0+0)+0)+((0+0+(0+0)+0+0+5058)+76477)))</f>
        <v>627707</v>
      </c>
    </row>
    <row r="186" spans="1:9" ht="14" x14ac:dyDescent="0.3">
      <c r="A186" s="2" t="s">
        <v>12</v>
      </c>
      <c r="B186" s="3">
        <f>((362941+2846821+(2759854+4139782)+328651+1014563+1167117)+969000)</f>
        <v>13588729</v>
      </c>
      <c r="C186" s="3">
        <f t="shared" si="2"/>
        <v>0</v>
      </c>
      <c r="D186" s="3">
        <f t="shared" si="2"/>
        <v>0</v>
      </c>
      <c r="E186" s="3">
        <f>(((362941+2846821+(2759854+4139782)+328651+1014563+1167117)+969000)+((0+0+(0+0)+0+0+0)+0)+((0+0+(0+0)+0+0+0)+0))</f>
        <v>13588729</v>
      </c>
      <c r="F186" s="3">
        <f>((90066+412785+(0+0)+0+9517+0)+0)</f>
        <v>512368</v>
      </c>
      <c r="G186" s="3">
        <f>((245267+2322678+(635850+953774)+266769+968697+846466)+550000)</f>
        <v>6789501</v>
      </c>
      <c r="H186" s="3">
        <f>(((90066+412785+(0+0)+0+9517+0)+0)+((245267+2322678+(635850+953774)+266769+968697+846466)+550000))</f>
        <v>7301869</v>
      </c>
      <c r="I186" s="3">
        <f>((((362941+2846821+(2759854+4139782)+328651+1014563+1167117)+969000)+((0+0+(0+0)+0+0+0)+0)+((0+0+(0+0)+0+0+0)+0))-(((90066+412785+(0+0)+0+9517+0)+0)+((245267+2322678+(635850+953774)+266769+968697+846466)+550000)))</f>
        <v>6286860</v>
      </c>
    </row>
    <row r="187" spans="1:9" ht="14" x14ac:dyDescent="0.3">
      <c r="A187" s="2" t="s">
        <v>13</v>
      </c>
      <c r="B187" s="3">
        <f>((151180+1625567+(960402+894581)+199289+664767+264765)+561973)</f>
        <v>5322524</v>
      </c>
      <c r="C187" s="3">
        <f>((24964+156482+(0+0)+0+12284+0)+217914)</f>
        <v>411644</v>
      </c>
      <c r="D187" s="3">
        <f>((0+0+(0+0)+0+0+0)+0)</f>
        <v>0</v>
      </c>
      <c r="E187" s="3">
        <f>(((151180+1625567+(960402+894581)+199289+664767+264765)+561973)+((24964+156482+(0+0)+0+12284+0)+217914)+((0+0+(0+0)+0+0+0)+0))</f>
        <v>5734168</v>
      </c>
      <c r="F187" s="3">
        <f>((277+275811+(0+0)+115+28899+423)+0)</f>
        <v>305525</v>
      </c>
      <c r="G187" s="3">
        <f>((0+376827+(0+0)+49685+70171+23518)+0)</f>
        <v>520201</v>
      </c>
      <c r="H187" s="3">
        <f>(((277+275811+(0+0)+115+28899+423)+0)+((0+376827+(0+0)+49685+70171+23518)+0))</f>
        <v>825726</v>
      </c>
      <c r="I187" s="3">
        <f>((((151180+1625567+(960402+894581)+199289+664767+264765)+561973)+((24964+156482+(0+0)+0+12284+0)+217914)+((0+0+(0+0)+0+0+0)+0))-(((277+275811+(0+0)+115+28899+423)+0)+((0+376827+(0+0)+49685+70171+23518)+0)))</f>
        <v>4908442</v>
      </c>
    </row>
    <row r="188" spans="1:9" ht="14" x14ac:dyDescent="0.3">
      <c r="A188" s="2" t="s">
        <v>14</v>
      </c>
      <c r="B188" s="3">
        <f>((2271+88174+(2829975+3560257)+33566+245212+16044)+46739047)</f>
        <v>53514546</v>
      </c>
      <c r="C188" s="3">
        <f>((0+0+(0+0)+0+0+0)+0)</f>
        <v>0</v>
      </c>
      <c r="D188" s="3">
        <f>((0+0+(0+0)+0+0+0)+0)</f>
        <v>0</v>
      </c>
      <c r="E188" s="3">
        <f>(((2271+88174+(2829975+3560257)+33566+245212+16044)+46739047)+((0+0+(0+0)+0+0+0)+0)+((0+0+(0+0)+0+0+0)+0))</f>
        <v>53514546</v>
      </c>
      <c r="F188" s="3">
        <f>((290+9302+(3161+6537)+0+27613+1177)+0)</f>
        <v>48080</v>
      </c>
      <c r="G188" s="3">
        <f>((1641+52710+(17790+37164)+57+153207+8567)+9105520)</f>
        <v>9376656</v>
      </c>
      <c r="H188" s="3">
        <f>(((290+9302+(3161+6537)+0+27613+1177)+0)+((1641+52710+(17790+37164)+57+153207+8567)+9105520))</f>
        <v>9424736</v>
      </c>
      <c r="I188" s="3">
        <f>((((2271+88174+(2829975+3560257)+33566+245212+16044)+46739047)+((0+0+(0+0)+0+0+0)+0)+((0+0+(0+0)+0+0+0)+0))-(((290+9302+(3161+6537)+0+27613+1177)+0)+((1641+52710+(17790+37164)+57+153207+8567)+9105520)))</f>
        <v>44089810</v>
      </c>
    </row>
    <row r="189" spans="1:9" ht="14" x14ac:dyDescent="0.3">
      <c r="A189" s="2" t="s">
        <v>15</v>
      </c>
      <c r="B189" s="3">
        <f>((2377264+10146971+(2873442+2406558)+1260488+4181257+484440)+2792835)</f>
        <v>26523255</v>
      </c>
      <c r="C189" s="3">
        <f>((4482+78015+(0+0)+0+55765+0)+0)</f>
        <v>138262</v>
      </c>
      <c r="D189" s="3">
        <f>((9203+12781+(0+0)+0+9136+0)+0)</f>
        <v>31120</v>
      </c>
      <c r="E189" s="3">
        <f>(((2377264+10146971+(2873442+2406558)+1260488+4181257+484440)+2792835)+((4482+78015+(0+0)+0+55765+0)+0)+((9203+12781+(0+0)+0+9136+0)+0))</f>
        <v>26692637</v>
      </c>
      <c r="F189" s="3">
        <f>((147+160950+(0+0)+697+116367+0)+0)</f>
        <v>278161</v>
      </c>
      <c r="G189" s="3">
        <f>((2350444+9834384+(283923+237790)+1149021+4017215+337684)+645622)</f>
        <v>18856083</v>
      </c>
      <c r="H189" s="3">
        <f>(((147+160950+(0+0)+697+116367+0)+0)+((2350444+9834384+(283923+237790)+1149021+4017215+337684)+645622))</f>
        <v>19134244</v>
      </c>
      <c r="I189" s="3">
        <f>((((2377264+10146971+(2873442+2406558)+1260488+4181257+484440)+2792835)+((4482+78015+(0+0)+0+55765+0)+0)+((9203+12781+(0+0)+0+9136+0)+0))-(((147+160950+(0+0)+697+116367+0)+0)+((2350444+9834384+(283923+237790)+1149021+4017215+337684)+645622)))</f>
        <v>7558393</v>
      </c>
    </row>
    <row r="190" spans="1:9" ht="14" x14ac:dyDescent="0.3">
      <c r="A190" s="2" t="s">
        <v>16</v>
      </c>
      <c r="B190" s="3">
        <f>((128+374263+(1774846+1760161)+87645+64997+92079)+2075527)</f>
        <v>6229646</v>
      </c>
      <c r="C190" s="3">
        <f>((0+0+(0+0)+0+0+0)+0)</f>
        <v>0</v>
      </c>
      <c r="D190" s="3">
        <f>((0+0+(0+0)+0+0+0)+0)</f>
        <v>0</v>
      </c>
      <c r="E190" s="3">
        <f>(((128+374263+(1774846+1760161)+87645+64997+92079)+2075527)+((0+0+(0+0)+0+0+0)+0)+((0+0+(0+0)+0+0+0)+0))</f>
        <v>6229646</v>
      </c>
      <c r="F190" s="3">
        <f>((177+20814+(1290+1280)+933+5080+537)+116824)</f>
        <v>146935</v>
      </c>
      <c r="G190" s="3">
        <f>((1662+280565+(4725+4686)+69406+47871+79531)+372387)</f>
        <v>860833</v>
      </c>
      <c r="H190" s="3">
        <f>(((177+20814+(1290+1280)+933+5080+537)+116824)+((1662+280565+(4725+4686)+69406+47871+79531)+372387))</f>
        <v>1007768</v>
      </c>
      <c r="I190" s="3">
        <f>((((128+374263+(1774846+1760161)+87645+64997+92079)+2075527)+((0+0+(0+0)+0+0+0)+0)+((0+0+(0+0)+0+0+0)+0))-(((177+20814+(1290+1280)+933+5080+537)+116824)+((1662+280565+(4725+4686)+69406+47871+79531)+372387)))</f>
        <v>5221878</v>
      </c>
    </row>
    <row r="191" spans="1:9" ht="14" x14ac:dyDescent="0.3">
      <c r="A191" s="2" t="s">
        <v>17</v>
      </c>
      <c r="B191" s="3">
        <f>((29672+62402+(184416+371982)+3014+7094+13991)+0)</f>
        <v>672571</v>
      </c>
      <c r="C191" s="3">
        <f>(((-1468)+102477+(0+0)+0+8606+0)+0)</f>
        <v>109615</v>
      </c>
      <c r="D191" s="3">
        <f t="shared" ref="D191:D200" si="3">((0+0+(0+0)+0+0+0)+0)</f>
        <v>0</v>
      </c>
      <c r="E191" s="3">
        <f>(((29672+62402+(184416+371982)+3014+7094+13991)+0)+(((-1468)+102477+(0+0)+0+8606+0)+0)+((0+0+(0+0)+0+0+0)+0))</f>
        <v>782186</v>
      </c>
      <c r="F191" s="3">
        <f>((0+0+(0+0)+0+0+0)+0)</f>
        <v>0</v>
      </c>
      <c r="G191" s="3">
        <f>((4471+17079+(0+0)+0+686+3204)+0)</f>
        <v>25440</v>
      </c>
      <c r="H191" s="3">
        <f>(((0+0+(0+0)+0+0+0)+0)+((4471+17079+(0+0)+0+686+3204)+0))</f>
        <v>25440</v>
      </c>
      <c r="I191" s="3">
        <f>((((29672+62402+(184416+371982)+3014+7094+13991)+0)+(((-1468)+102477+(0+0)+0+8606+0)+0)+((0+0+(0+0)+0+0+0)+0))-(((0+0+(0+0)+0+0+0)+0)+((4471+17079+(0+0)+0+686+3204)+0)))</f>
        <v>756746</v>
      </c>
    </row>
    <row r="192" spans="1:9" ht="14" x14ac:dyDescent="0.3">
      <c r="A192" s="2" t="s">
        <v>18</v>
      </c>
      <c r="B192" s="3">
        <f>((6611+177178+(147459+39385)+26692+70295+8295)+360424)</f>
        <v>836339</v>
      </c>
      <c r="C192" s="3">
        <f>((0+35807+(0+0)+0+25205+0)+0)</f>
        <v>61012</v>
      </c>
      <c r="D192" s="3">
        <f t="shared" si="3"/>
        <v>0</v>
      </c>
      <c r="E192" s="3">
        <f>(((6611+177178+(147459+39385)+26692+70295+8295)+360424)+((0+35807+(0+0)+0+25205+0)+0)+((0+0+(0+0)+0+0+0)+0))</f>
        <v>897351</v>
      </c>
      <c r="F192" s="3">
        <f>((0+19460+(0+0)+0+16291+0)+0)</f>
        <v>35751</v>
      </c>
      <c r="G192" s="3">
        <f>((5289+164371+(2111+0)+4005+63277+6085)+0)</f>
        <v>245138</v>
      </c>
      <c r="H192" s="3">
        <f>(((0+19460+(0+0)+0+16291+0)+0)+((5289+164371+(2111+0)+4005+63277+6085)+0))</f>
        <v>280889</v>
      </c>
      <c r="I192" s="3">
        <f>((((6611+177178+(147459+39385)+26692+70295+8295)+360424)+((0+35807+(0+0)+0+25205+0)+0)+((0+0+(0+0)+0+0+0)+0))-(((0+19460+(0+0)+0+16291+0)+0)+((5289+164371+(2111+0)+4005+63277+6085)+0)))</f>
        <v>616462</v>
      </c>
    </row>
    <row r="193" spans="1:9" ht="14" x14ac:dyDescent="0.3">
      <c r="A193" s="2" t="s">
        <v>19</v>
      </c>
      <c r="B193" s="3">
        <f>((316139+1900347+(1231346+1007465)+1489312+499922+99847)+694614)</f>
        <v>7238992</v>
      </c>
      <c r="C193" s="3">
        <f>((0+0+(0+0)+0+0+0)+0)</f>
        <v>0</v>
      </c>
      <c r="D193" s="3">
        <f t="shared" si="3"/>
        <v>0</v>
      </c>
      <c r="E193" s="3">
        <f>(((316139+1900347+(1231346+1007465)+1489312+499922+99847)+694614)+((0+0+(0+0)+0+0+0)+0)+((0+0+(0+0)+0+0+0)+0))</f>
        <v>7238992</v>
      </c>
      <c r="F193" s="3">
        <f>((1744+46949+(0+0)+0+8364+2458)+0)</f>
        <v>59515</v>
      </c>
      <c r="G193" s="3">
        <f>((278939+1786623+(368037+301116)+1464731+462676+85127)+401140)</f>
        <v>5148389</v>
      </c>
      <c r="H193" s="3">
        <f>(((1744+46949+(0+0)+0+8364+2458)+0)+((278939+1786623+(368037+301116)+1464731+462676+85127)+401140))</f>
        <v>5207904</v>
      </c>
      <c r="I193" s="3">
        <f>((((316139+1900347+(1231346+1007465)+1489312+499922+99847)+694614)+((0+0+(0+0)+0+0+0)+0)+((0+0+(0+0)+0+0+0)+0))-(((1744+46949+(0+0)+0+8364+2458)+0)+((278939+1786623+(368037+301116)+1464731+462676+85127)+401140)))</f>
        <v>2031088</v>
      </c>
    </row>
    <row r="194" spans="1:9" ht="14" x14ac:dyDescent="0.3">
      <c r="A194" s="2" t="s">
        <v>20</v>
      </c>
      <c r="B194" s="3">
        <f>((76824+1546456+(108261+1814)+457737+541592+170149)+628729)</f>
        <v>3531562</v>
      </c>
      <c r="C194" s="3">
        <f>((5955+126769+(0+0)+0+0+0)+0)</f>
        <v>132724</v>
      </c>
      <c r="D194" s="3">
        <f t="shared" si="3"/>
        <v>0</v>
      </c>
      <c r="E194" s="3">
        <f>(((76824+1546456+(108261+1814)+457737+541592+170149)+628729)+((5955+126769+(0+0)+0+0+0)+0)+((0+0+(0+0)+0+0+0)+0))</f>
        <v>3664286</v>
      </c>
      <c r="F194" s="3">
        <f>((0+1040068+(0+0)+0+61257+2094)+0)</f>
        <v>1103419</v>
      </c>
      <c r="G194" s="3">
        <f>((38173+602093+(17498+0)+363249+404050+148078)+439923)</f>
        <v>2013064</v>
      </c>
      <c r="H194" s="3">
        <f>(((0+1040068+(0+0)+0+61257+2094)+0)+((38173+602093+(17498+0)+363249+404050+148078)+439923))</f>
        <v>3116483</v>
      </c>
      <c r="I194" s="3">
        <f>((((76824+1546456+(108261+1814)+457737+541592+170149)+628729)+((5955+126769+(0+0)+0+0+0)+0)+((0+0+(0+0)+0+0+0)+0))-(((0+1040068+(0+0)+0+61257+2094)+0)+((38173+602093+(17498+0)+363249+404050+148078)+439923)))</f>
        <v>547803</v>
      </c>
    </row>
    <row r="195" spans="1:9" ht="14" x14ac:dyDescent="0.3">
      <c r="A195" s="2" t="s">
        <v>21</v>
      </c>
      <c r="B195" s="3">
        <f>((0+0+(0+0)+0+0+0)+691843)</f>
        <v>691843</v>
      </c>
      <c r="C195" s="3">
        <f>((0+0+(0+0)+0+0+0)+0)</f>
        <v>0</v>
      </c>
      <c r="D195" s="3">
        <f t="shared" si="3"/>
        <v>0</v>
      </c>
      <c r="E195" s="3">
        <f>(((0+0+(0+0)+0+0+0)+691843)+((0+0+(0+0)+0+0+0)+0)+((0+0+(0+0)+0+0+0)+0))</f>
        <v>691843</v>
      </c>
      <c r="F195" s="3">
        <f>((0+0+(0+0)+0+0+0)+0)</f>
        <v>0</v>
      </c>
      <c r="G195" s="3">
        <f>((0+0+(0+0)+0+0+0)+0)</f>
        <v>0</v>
      </c>
      <c r="H195" s="3">
        <f>(((0+0+(0+0)+0+0+0)+0)+((0+0+(0+0)+0+0+0)+0))</f>
        <v>0</v>
      </c>
      <c r="I195" s="3">
        <f>((((0+0+(0+0)+0+0+0)+691843)+((0+0+(0+0)+0+0+0)+0)+((0+0+(0+0)+0+0+0)+0))-(((0+0+(0+0)+0+0+0)+0)+((0+0+(0+0)+0+0+0)+0)))</f>
        <v>691843</v>
      </c>
    </row>
    <row r="196" spans="1:9" ht="14" x14ac:dyDescent="0.3">
      <c r="A196" s="2" t="s">
        <v>22</v>
      </c>
      <c r="B196" s="3">
        <f>((724476+5459007+(3769214+4287777)+1585367+2389456+1576264)+2087104)</f>
        <v>21878665</v>
      </c>
      <c r="C196" s="3">
        <f>((0+0+(0+0)+0+0+0)+0)</f>
        <v>0</v>
      </c>
      <c r="D196" s="3">
        <f t="shared" si="3"/>
        <v>0</v>
      </c>
      <c r="E196" s="3">
        <f>(((724476+5459007+(3769214+4287777)+1585367+2389456+1576264)+2087104)+((0+0+(0+0)+0+0+0)+0)+((0+0+(0+0)+0+0+0)+0))</f>
        <v>21878665</v>
      </c>
      <c r="F196" s="3">
        <f>((0+0+(0+0)+0+0+0)+0)</f>
        <v>0</v>
      </c>
      <c r="G196" s="3">
        <f>((644409+5247376+(0+0)+1270610+2097130+831792)+1259162)</f>
        <v>11350479</v>
      </c>
      <c r="H196" s="3">
        <f>(((0+0+(0+0)+0+0+0)+0)+((644409+5247376+(0+0)+1270610+2097130+831792)+1259162))</f>
        <v>11350479</v>
      </c>
      <c r="I196" s="3">
        <f>((((724476+5459007+(3769214+4287777)+1585367+2389456+1576264)+2087104)+((0+0+(0+0)+0+0+0)+0)+((0+0+(0+0)+0+0+0)+0))-(((0+0+(0+0)+0+0+0)+0)+((644409+5247376+(0+0)+1270610+2097130+831792)+1259162)))</f>
        <v>10528186</v>
      </c>
    </row>
    <row r="197" spans="1:9" ht="14" x14ac:dyDescent="0.3">
      <c r="A197" s="2" t="s">
        <v>23</v>
      </c>
      <c r="B197" s="3">
        <f>((120431+4062585+(94941+3390)+226456+247126+33593)+902347)</f>
        <v>5690869</v>
      </c>
      <c r="C197" s="3">
        <f>((9607+925740+(0+0)+0+25964+0)+0)</f>
        <v>961311</v>
      </c>
      <c r="D197" s="3">
        <f t="shared" si="3"/>
        <v>0</v>
      </c>
      <c r="E197" s="3">
        <f>(((120431+4062585+(94941+3390)+226456+247126+33593)+902347)+((9607+925740+(0+0)+0+25964+0)+0)+((0+0+(0+0)+0+0+0)+0))</f>
        <v>6652180</v>
      </c>
      <c r="F197" s="3">
        <f>((0+0+(0+0)+0+0+0)+0)</f>
        <v>0</v>
      </c>
      <c r="G197" s="3">
        <f>((86929+4938020+(26475+2989)+(-62966)+4504+20228)+99604)</f>
        <v>5115783</v>
      </c>
      <c r="H197" s="3">
        <f>(((0+0+(0+0)+0+0+0)+0)+((86929+4938020+(26475+2989)+(-62966)+4504+20228)+99604))</f>
        <v>5115783</v>
      </c>
      <c r="I197" s="3">
        <f>((((120431+4062585+(94941+3390)+226456+247126+33593)+902347)+((9607+925740+(0+0)+0+25964+0)+0)+((0+0+(0+0)+0+0+0)+0))-(((0+0+(0+0)+0+0+0)+0)+((86929+4938020+(26475+2989)+(-62966)+4504+20228)+99604)))</f>
        <v>1536397</v>
      </c>
    </row>
    <row r="198" spans="1:9" ht="14" x14ac:dyDescent="0.3">
      <c r="A198" s="2" t="s">
        <v>24</v>
      </c>
      <c r="B198" s="3">
        <f>((47512+479234+(1367818+1012641)+331398+258569+74806)+509954)</f>
        <v>4081932</v>
      </c>
      <c r="C198" s="3">
        <f>((0+0+(0+0)+0+0+0)+0)</f>
        <v>0</v>
      </c>
      <c r="D198" s="3">
        <f t="shared" si="3"/>
        <v>0</v>
      </c>
      <c r="E198" s="3">
        <f>(((47512+479234+(1367818+1012641)+331398+258569+74806)+509954)+((0+0+(0+0)+0+0+0)+0)+((0+0+(0+0)+0+0+0)+0))</f>
        <v>4081932</v>
      </c>
      <c r="F198" s="3">
        <f>((0+29685+(0+0)+0+4481+0)+0)</f>
        <v>34166</v>
      </c>
      <c r="G198" s="3">
        <f>((43037+427987+(414755+303792)+280449+241808+70504)+304377)</f>
        <v>2086709</v>
      </c>
      <c r="H198" s="3">
        <f>(((0+29685+(0+0)+0+4481+0)+0)+((43037+427987+(414755+303792)+280449+241808+70504)+304377))</f>
        <v>2120875</v>
      </c>
      <c r="I198" s="3">
        <f>((((47512+479234+(1367818+1012641)+331398+258569+74806)+509954)+((0+0+(0+0)+0+0+0)+0)+((0+0+(0+0)+0+0+0)+0))-(((0+29685+(0+0)+0+4481+0)+0)+((43037+427987+(414755+303792)+280449+241808+70504)+304377)))</f>
        <v>1961057</v>
      </c>
    </row>
    <row r="199" spans="1:9" ht="14" x14ac:dyDescent="0.3">
      <c r="A199" s="2" t="s">
        <v>25</v>
      </c>
      <c r="B199" s="3">
        <f>((0+0+(0+0)+0+0+0)+0)</f>
        <v>0</v>
      </c>
      <c r="C199" s="3">
        <f>((0+0+(0+0)+0+0+0)+0)</f>
        <v>0</v>
      </c>
      <c r="D199" s="3">
        <f t="shared" si="3"/>
        <v>0</v>
      </c>
      <c r="E199" s="3">
        <f>(((0+0+(0+0)+0+0+0)+0)+((0+0+(0+0)+0+0+0)+0)+((0+0+(0+0)+0+0+0)+0))</f>
        <v>0</v>
      </c>
      <c r="F199" s="3">
        <f>((0+0+(0+0)+0+0+0)+0)</f>
        <v>0</v>
      </c>
      <c r="G199" s="3">
        <f>((0+0+(0+0)+0+0+0)+0)</f>
        <v>0</v>
      </c>
      <c r="H199" s="3">
        <f>(((0+0+(0+0)+0+0+0)+0)+((0+0+(0+0)+0+0+0)+0))</f>
        <v>0</v>
      </c>
      <c r="I199" s="3">
        <f>((((0+0+(0+0)+0+0+0)+0)+((0+0+(0+0)+0+0+0)+0)+((0+0+(0+0)+0+0+0)+0))-(((0+0+(0+0)+0+0+0)+0)+((0+0+(0+0)+0+0+0)+0)))</f>
        <v>0</v>
      </c>
    </row>
    <row r="200" spans="1:9" ht="14" x14ac:dyDescent="0.3">
      <c r="A200" s="2" t="s">
        <v>26</v>
      </c>
      <c r="B200" s="3">
        <f>((75077+440523+(2788047+4283)+284979+488486+317152)+1333328)</f>
        <v>5731875</v>
      </c>
      <c r="C200" s="3">
        <f>((861+12301+(0+0)+0+19455+5379)+0)</f>
        <v>37996</v>
      </c>
      <c r="D200" s="3">
        <f t="shared" si="3"/>
        <v>0</v>
      </c>
      <c r="E200" s="3">
        <f>(((75077+440523+(2788047+4283)+284979+488486+317152)+1333328)+((861+12301+(0+0)+0+19455+5379)+0)+((0+0+(0+0)+0+0+0)+0))</f>
        <v>5769871</v>
      </c>
      <c r="F200" s="3">
        <f>((0+1002+(0+0)+0+0+0)+0)</f>
        <v>1002</v>
      </c>
      <c r="G200" s="3">
        <f>((9104+154814+(1104+0)+143268+356185+16822)+27843)</f>
        <v>709140</v>
      </c>
      <c r="H200" s="3">
        <f>(((0+1002+(0+0)+0+0+0)+0)+((9104+154814+(1104+0)+143268+356185+16822)+27843))</f>
        <v>710142</v>
      </c>
      <c r="I200" s="3">
        <f>((((75077+440523+(2788047+4283)+284979+488486+317152)+1333328)+((861+12301+(0+0)+0+19455+5379)+0)+((0+0+(0+0)+0+0+0)+0))-(((0+1002+(0+0)+0+0+0)+0)+((9104+154814+(1104+0)+143268+356185+16822)+27843)))</f>
        <v>5059729</v>
      </c>
    </row>
  </sheetData>
  <mergeCells count="20">
    <mergeCell ref="A121:I121"/>
    <mergeCell ref="A141:I141"/>
    <mergeCell ref="A161:I161"/>
    <mergeCell ref="A181:I181"/>
    <mergeCell ref="A122:A123"/>
    <mergeCell ref="A142:A143"/>
    <mergeCell ref="A162:A163"/>
    <mergeCell ref="A182:A183"/>
    <mergeCell ref="A1:I1"/>
    <mergeCell ref="A21:I21"/>
    <mergeCell ref="A41:I41"/>
    <mergeCell ref="A61:I61"/>
    <mergeCell ref="A81:I81"/>
    <mergeCell ref="A101:I10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2025-05-28T06:42:04Z</dcterms:created>
  <dcterms:modified xsi:type="dcterms:W3CDTF">2025-05-28T06:42:06Z</dcterms:modified>
</cp:coreProperties>
</file>